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ДО рУз\МДО рУз\Бухгалтерия\2024\Веб сайтга маълумотлар\"/>
    </mc:Choice>
  </mc:AlternateContent>
  <bookViews>
    <workbookView xWindow="0" yWindow="0" windowWidth="21570" windowHeight="8145" firstSheet="7" activeTab="7"/>
  </bookViews>
  <sheets>
    <sheet name="1" sheetId="1" state="hidden" r:id="rId1"/>
    <sheet name="2" sheetId="2" state="hidden" r:id="rId2"/>
    <sheet name="3" sheetId="4" state="hidden" r:id="rId3"/>
    <sheet name="4" sheetId="3" state="hidden" r:id="rId4"/>
    <sheet name="Таклиф (25.10.2022)" sheetId="5" state="hidden" r:id="rId5"/>
    <sheet name="Таклиф (30.10.2022)" sheetId="6" state="hidden" r:id="rId6"/>
    <sheet name="Таклиф (01.11.2022)" sheetId="7" state="hidden" r:id="rId7"/>
    <sheet name="Жадвал" sheetId="9" r:id="rId8"/>
  </sheets>
  <definedNames>
    <definedName name="_xlnm._FilterDatabase" localSheetId="7" hidden="1">Жадвал!$A$7:$WUJ$28</definedName>
    <definedName name="_xlnm.Print_Titles" localSheetId="1">'2'!$4:$7</definedName>
    <definedName name="_xlnm.Print_Titles" localSheetId="2">'3'!$4:$7</definedName>
    <definedName name="_xlnm.Print_Titles" localSheetId="3">'4'!$5:$8</definedName>
    <definedName name="_xlnm.Print_Titles" localSheetId="6">'Таклиф (01.11.2022)'!$5:$5</definedName>
    <definedName name="_xlnm.Print_Titles" localSheetId="4">'Таклиф (25.10.2022)'!$5:$5</definedName>
    <definedName name="_xlnm.Print_Titles" localSheetId="5">'Таклиф (30.10.2022)'!$5:$5</definedName>
    <definedName name="_xlnm.Print_Area" localSheetId="0">'1'!$A$1:$S$108</definedName>
    <definedName name="_xlnm.Print_Area" localSheetId="1">'2'!$A$1:$S$108</definedName>
    <definedName name="_xlnm.Print_Area" localSheetId="2">'3'!$A$1:$S$110</definedName>
    <definedName name="_xlnm.Print_Area" localSheetId="3">'4'!$A$1:$U$152</definedName>
    <definedName name="_xlnm.Print_Area" localSheetId="6">'Таклиф (01.11.2022)'!$A$1:$G$149</definedName>
    <definedName name="_xlnm.Print_Area" localSheetId="4">'Таклиф (25.10.2022)'!$A$1:$G$149</definedName>
    <definedName name="_xlnm.Print_Area" localSheetId="5">'Таклиф (30.10.2022)'!$A$1:$G$149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1" i="9" l="1"/>
  <c r="J21" i="9"/>
  <c r="K21" i="9"/>
  <c r="H21" i="9"/>
  <c r="I18" i="9"/>
  <c r="J18" i="9"/>
  <c r="K18" i="9"/>
  <c r="K24" i="9" l="1"/>
  <c r="J24" i="9"/>
  <c r="I24" i="9"/>
  <c r="H24" i="9"/>
  <c r="H20" i="9" l="1"/>
  <c r="H19" i="9"/>
  <c r="H18" i="9" l="1"/>
  <c r="H17" i="9"/>
  <c r="H16" i="9"/>
  <c r="K15" i="9"/>
  <c r="J15" i="9"/>
  <c r="I15" i="9"/>
  <c r="H15" i="9" l="1"/>
  <c r="K9" i="9" l="1"/>
  <c r="K7" i="9" s="1"/>
  <c r="J9" i="9"/>
  <c r="J7" i="9" s="1"/>
  <c r="I9" i="9"/>
  <c r="I7" i="9" s="1"/>
  <c r="H14" i="9" l="1"/>
  <c r="H13" i="9"/>
  <c r="H12" i="9"/>
  <c r="H11" i="9"/>
  <c r="H10" i="9"/>
  <c r="H9" i="9" l="1"/>
  <c r="H7" i="9" l="1"/>
  <c r="C25" i="7"/>
  <c r="G25" i="7"/>
  <c r="C149" i="7"/>
  <c r="G149" i="7" s="1"/>
  <c r="C147" i="7"/>
  <c r="G147" i="7" s="1"/>
  <c r="C145" i="7"/>
  <c r="C143" i="7"/>
  <c r="C135" i="7"/>
  <c r="G135" i="7" s="1"/>
  <c r="C90" i="7"/>
  <c r="C88" i="7"/>
  <c r="C87" i="7"/>
  <c r="C86" i="7"/>
  <c r="G86" i="7" s="1"/>
  <c r="C54" i="7"/>
  <c r="C43" i="7"/>
  <c r="G43" i="7" s="1"/>
  <c r="C31" i="7"/>
  <c r="C16" i="7"/>
  <c r="G16" i="7" s="1"/>
  <c r="C23" i="7"/>
  <c r="C12" i="7"/>
  <c r="C11" i="7"/>
  <c r="G11" i="7" s="1"/>
  <c r="C9" i="7"/>
  <c r="G9" i="7" s="1"/>
  <c r="C137" i="7"/>
  <c r="G137" i="7" s="1"/>
  <c r="C131" i="7"/>
  <c r="G131" i="7"/>
  <c r="C123" i="7"/>
  <c r="C117" i="7"/>
  <c r="C120" i="7"/>
  <c r="G120" i="7"/>
  <c r="C119" i="7"/>
  <c r="C113" i="7"/>
  <c r="C107" i="7"/>
  <c r="C101" i="7"/>
  <c r="G101" i="7" s="1"/>
  <c r="C100" i="7"/>
  <c r="C99" i="7"/>
  <c r="C95" i="7"/>
  <c r="G95" i="7" s="1"/>
  <c r="C94" i="7"/>
  <c r="G94" i="7" s="1"/>
  <c r="C92" i="7"/>
  <c r="C84" i="7"/>
  <c r="G84" i="7" s="1"/>
  <c r="C81" i="7"/>
  <c r="G81" i="7" s="1"/>
  <c r="C78" i="7"/>
  <c r="G78" i="7" s="1"/>
  <c r="C76" i="7"/>
  <c r="C74" i="7"/>
  <c r="G74" i="7" s="1"/>
  <c r="C73" i="7"/>
  <c r="G73" i="7" s="1"/>
  <c r="C71" i="7"/>
  <c r="C69" i="7"/>
  <c r="C65" i="7"/>
  <c r="G65" i="7" s="1"/>
  <c r="C62" i="7"/>
  <c r="G62" i="7" s="1"/>
  <c r="C58" i="7"/>
  <c r="C56" i="7"/>
  <c r="C55" i="7"/>
  <c r="C51" i="7"/>
  <c r="C48" i="7"/>
  <c r="C47" i="7"/>
  <c r="C46" i="7"/>
  <c r="C39" i="7"/>
  <c r="G39" i="7" s="1"/>
  <c r="C36" i="7"/>
  <c r="C33" i="7"/>
  <c r="G33" i="7" s="1"/>
  <c r="C27" i="7"/>
  <c r="G27" i="7" s="1"/>
  <c r="C26" i="7"/>
  <c r="C22" i="7"/>
  <c r="C19" i="7"/>
  <c r="G19" i="7" s="1"/>
  <c r="C97" i="7"/>
  <c r="G97" i="7" s="1"/>
  <c r="C10" i="7"/>
  <c r="G10" i="7"/>
  <c r="C7" i="7"/>
  <c r="G7" i="7" s="1"/>
  <c r="G71" i="7"/>
  <c r="G51" i="7"/>
  <c r="G54" i="7"/>
  <c r="G145" i="7"/>
  <c r="G143" i="7"/>
  <c r="G141" i="7"/>
  <c r="G139" i="7"/>
  <c r="G133" i="7"/>
  <c r="G129" i="7"/>
  <c r="G127" i="7"/>
  <c r="G125" i="7"/>
  <c r="G123" i="7"/>
  <c r="G121" i="7"/>
  <c r="G119" i="7"/>
  <c r="G117" i="7"/>
  <c r="G115" i="7"/>
  <c r="G114" i="7"/>
  <c r="G113" i="7"/>
  <c r="C111" i="7"/>
  <c r="G111" i="7" s="1"/>
  <c r="G109" i="7"/>
  <c r="G107" i="7"/>
  <c r="G105" i="7"/>
  <c r="G103" i="7"/>
  <c r="G100" i="7"/>
  <c r="G99" i="7"/>
  <c r="G93" i="7"/>
  <c r="G92" i="7"/>
  <c r="G90" i="7"/>
  <c r="G88" i="7"/>
  <c r="G87" i="7"/>
  <c r="G83" i="7"/>
  <c r="G79" i="7"/>
  <c r="G76" i="7"/>
  <c r="G75" i="7"/>
  <c r="G69" i="7"/>
  <c r="G67" i="7"/>
  <c r="C64" i="7"/>
  <c r="G64" i="7" s="1"/>
  <c r="G60" i="7"/>
  <c r="C60" i="7"/>
  <c r="G58" i="7"/>
  <c r="G56" i="7"/>
  <c r="G55" i="7"/>
  <c r="G49" i="7"/>
  <c r="G48" i="7"/>
  <c r="G47" i="7"/>
  <c r="G46" i="7"/>
  <c r="G36" i="7"/>
  <c r="G32" i="7"/>
  <c r="G31" i="7"/>
  <c r="G29" i="7"/>
  <c r="G28" i="7"/>
  <c r="G26" i="7"/>
  <c r="G24" i="7"/>
  <c r="G23" i="7"/>
  <c r="G22" i="7"/>
  <c r="G21" i="7"/>
  <c r="G20" i="7"/>
  <c r="G14" i="7"/>
  <c r="G13" i="7"/>
  <c r="G12" i="7"/>
  <c r="D9" i="7"/>
  <c r="D10" i="7" s="1"/>
  <c r="D11" i="7" s="1"/>
  <c r="D12" i="7" s="1"/>
  <c r="D13" i="7" s="1"/>
  <c r="D14" i="7" s="1"/>
  <c r="D16" i="7" s="1"/>
  <c r="D17" i="7" s="1"/>
  <c r="D19" i="7" s="1"/>
  <c r="D20" i="7" s="1"/>
  <c r="D21" i="7" s="1"/>
  <c r="D22" i="7" s="1"/>
  <c r="D23" i="7" s="1"/>
  <c r="D25" i="7" s="1"/>
  <c r="D26" i="7" s="1"/>
  <c r="D27" i="7" s="1"/>
  <c r="D28" i="7" s="1"/>
  <c r="D29" i="7" s="1"/>
  <c r="D31" i="7" s="1"/>
  <c r="D33" i="7" s="1"/>
  <c r="D34" i="7" s="1"/>
  <c r="D36" i="7" s="1"/>
  <c r="D37" i="7" s="1"/>
  <c r="D39" i="7" s="1"/>
  <c r="D40" i="7" s="1"/>
  <c r="D41" i="7" s="1"/>
  <c r="D43" i="7" s="1"/>
  <c r="D44" i="7" s="1"/>
  <c r="D46" i="7" s="1"/>
  <c r="D47" i="7" s="1"/>
  <c r="D48" i="7" s="1"/>
  <c r="D49" i="7" s="1"/>
  <c r="D51" i="7" s="1"/>
  <c r="D52" i="7" s="1"/>
  <c r="D54" i="7" s="1"/>
  <c r="D55" i="7" s="1"/>
  <c r="A9" i="7"/>
  <c r="A10" i="7" s="1"/>
  <c r="A11" i="7" s="1"/>
  <c r="A12" i="7" s="1"/>
  <c r="A16" i="7" s="1"/>
  <c r="A19" i="7" s="1"/>
  <c r="A20" i="7" s="1"/>
  <c r="A21" i="7" s="1"/>
  <c r="A22" i="7" s="1"/>
  <c r="A23" i="7" s="1"/>
  <c r="A24" i="7" s="1"/>
  <c r="A25" i="7" s="1"/>
  <c r="A26" i="7" s="1"/>
  <c r="A27" i="7" s="1"/>
  <c r="A31" i="7" s="1"/>
  <c r="A33" i="7" s="1"/>
  <c r="A36" i="7" s="1"/>
  <c r="A39" i="7" s="1"/>
  <c r="A43" i="7" s="1"/>
  <c r="A46" i="7" s="1"/>
  <c r="A47" i="7" s="1"/>
  <c r="A48" i="7" s="1"/>
  <c r="A51" i="7" s="1"/>
  <c r="F6" i="7"/>
  <c r="A54" i="7" l="1"/>
  <c r="A55" i="7" s="1"/>
  <c r="A56" i="7" s="1"/>
  <c r="A58" i="7" s="1"/>
  <c r="A60" i="7" s="1"/>
  <c r="A62" i="7" s="1"/>
  <c r="A64" i="7" s="1"/>
  <c r="A65" i="7" s="1"/>
  <c r="A67" i="7" s="1"/>
  <c r="A69" i="7" s="1"/>
  <c r="A71" i="7" s="1"/>
  <c r="A73" i="7" s="1"/>
  <c r="A74" i="7" s="1"/>
  <c r="A76" i="7" s="1"/>
  <c r="A78" i="7" s="1"/>
  <c r="A81" i="7" s="1"/>
  <c r="A83" i="7" s="1"/>
  <c r="A84" i="7" s="1"/>
  <c r="A86" i="7" s="1"/>
  <c r="A87" i="7" s="1"/>
  <c r="A88" i="7" s="1"/>
  <c r="A90" i="7" s="1"/>
  <c r="A92" i="7" s="1"/>
  <c r="A93" i="7" s="1"/>
  <c r="A94" i="7" s="1"/>
  <c r="A95" i="7" s="1"/>
  <c r="A97" i="7" s="1"/>
  <c r="A99" i="7" s="1"/>
  <c r="A100" i="7" s="1"/>
  <c r="A101" i="7" s="1"/>
  <c r="A103" i="7" s="1"/>
  <c r="A105" i="7" s="1"/>
  <c r="A107" i="7" s="1"/>
  <c r="A111" i="7" s="1"/>
  <c r="A113" i="7" s="1"/>
  <c r="A115" i="7" s="1"/>
  <c r="A117" i="7" s="1"/>
  <c r="A119" i="7" s="1"/>
  <c r="D56" i="7"/>
  <c r="D58" i="7" s="1"/>
  <c r="D60" i="7" s="1"/>
  <c r="D62" i="7" s="1"/>
  <c r="D64" i="7" s="1"/>
  <c r="D65" i="7" s="1"/>
  <c r="D67" i="7" s="1"/>
  <c r="D69" i="7" s="1"/>
  <c r="D71" i="7" s="1"/>
  <c r="D73" i="7" s="1"/>
  <c r="D74" i="7" s="1"/>
  <c r="D75" i="7" s="1"/>
  <c r="D76" i="7" s="1"/>
  <c r="D77" i="7" s="1"/>
  <c r="D78" i="7" s="1"/>
  <c r="D79" i="7" s="1"/>
  <c r="D81" i="7" s="1"/>
  <c r="D83" i="7" s="1"/>
  <c r="D84" i="7" s="1"/>
  <c r="D86" i="7" s="1"/>
  <c r="D87" i="7" s="1"/>
  <c r="D88" i="7" s="1"/>
  <c r="D90" i="7" s="1"/>
  <c r="D92" i="7" s="1"/>
  <c r="D93" i="7" s="1"/>
  <c r="D94" i="7" s="1"/>
  <c r="D95" i="7" s="1"/>
  <c r="D97" i="7" s="1"/>
  <c r="D99" i="7" s="1"/>
  <c r="D100" i="7" s="1"/>
  <c r="D101" i="7" s="1"/>
  <c r="D103" i="7" s="1"/>
  <c r="D105" i="7" s="1"/>
  <c r="D107" i="7" s="1"/>
  <c r="D109" i="7" s="1"/>
  <c r="D111" i="7" s="1"/>
  <c r="D113" i="7" s="1"/>
  <c r="D114" i="7" s="1"/>
  <c r="D115" i="7" s="1"/>
  <c r="D117" i="7" s="1"/>
  <c r="D119" i="7" s="1"/>
  <c r="D120" i="7" s="1"/>
  <c r="D121" i="7" s="1"/>
  <c r="D123" i="7" s="1"/>
  <c r="G6" i="7"/>
  <c r="C6" i="7"/>
  <c r="C67" i="6"/>
  <c r="C48" i="6"/>
  <c r="C27" i="6"/>
  <c r="G27" i="6" s="1"/>
  <c r="C97" i="6"/>
  <c r="C10" i="6"/>
  <c r="C145" i="6"/>
  <c r="C137" i="6"/>
  <c r="G137" i="6" s="1"/>
  <c r="C123" i="6"/>
  <c r="G123" i="6" s="1"/>
  <c r="C113" i="6"/>
  <c r="C107" i="6"/>
  <c r="G107" i="6" s="1"/>
  <c r="C101" i="6"/>
  <c r="G101" i="6" s="1"/>
  <c r="C92" i="6"/>
  <c r="C86" i="6"/>
  <c r="C84" i="6"/>
  <c r="C81" i="6"/>
  <c r="G81" i="6" s="1"/>
  <c r="C76" i="6"/>
  <c r="G76" i="6" s="1"/>
  <c r="C73" i="6"/>
  <c r="C71" i="6"/>
  <c r="C69" i="6"/>
  <c r="G69" i="6" s="1"/>
  <c r="C65" i="6"/>
  <c r="C62" i="6"/>
  <c r="C55" i="6"/>
  <c r="C54" i="6"/>
  <c r="G54" i="6" s="1"/>
  <c r="C58" i="6"/>
  <c r="G58" i="6" s="1"/>
  <c r="C51" i="6"/>
  <c r="C47" i="6"/>
  <c r="C46" i="6"/>
  <c r="G46" i="6" s="1"/>
  <c r="C43" i="6"/>
  <c r="G43" i="6" s="1"/>
  <c r="C39" i="6"/>
  <c r="C36" i="6"/>
  <c r="G36" i="6" s="1"/>
  <c r="C33" i="6"/>
  <c r="C26" i="6"/>
  <c r="G26" i="6" s="1"/>
  <c r="C23" i="6"/>
  <c r="C22" i="6"/>
  <c r="C19" i="6"/>
  <c r="C16" i="6"/>
  <c r="G16" i="6" s="1"/>
  <c r="G10" i="6"/>
  <c r="C7" i="6"/>
  <c r="G7" i="6"/>
  <c r="G149" i="6"/>
  <c r="G147" i="6"/>
  <c r="G145" i="6"/>
  <c r="C143" i="6"/>
  <c r="G143" i="6" s="1"/>
  <c r="G141" i="6"/>
  <c r="G139" i="6"/>
  <c r="G135" i="6"/>
  <c r="G133" i="6"/>
  <c r="G131" i="6"/>
  <c r="G129" i="6"/>
  <c r="G127" i="6"/>
  <c r="G125" i="6"/>
  <c r="G121" i="6"/>
  <c r="G120" i="6"/>
  <c r="G119" i="6"/>
  <c r="G117" i="6"/>
  <c r="C117" i="6"/>
  <c r="G115" i="6"/>
  <c r="G114" i="6"/>
  <c r="G113" i="6"/>
  <c r="C111" i="6"/>
  <c r="G111" i="6" s="1"/>
  <c r="G109" i="6"/>
  <c r="G105" i="6"/>
  <c r="G103" i="6"/>
  <c r="G100" i="6"/>
  <c r="G99" i="6"/>
  <c r="G97" i="6"/>
  <c r="G95" i="6"/>
  <c r="G94" i="6"/>
  <c r="G93" i="6"/>
  <c r="G92" i="6"/>
  <c r="G90" i="6"/>
  <c r="C90" i="6"/>
  <c r="G88" i="6"/>
  <c r="G87" i="6"/>
  <c r="G86" i="6"/>
  <c r="G84" i="6"/>
  <c r="G83" i="6"/>
  <c r="G79" i="6"/>
  <c r="G78" i="6"/>
  <c r="G75" i="6"/>
  <c r="G73" i="6"/>
  <c r="G71" i="6"/>
  <c r="G67" i="6"/>
  <c r="G65" i="6"/>
  <c r="G64" i="6"/>
  <c r="C64" i="6"/>
  <c r="G62" i="6"/>
  <c r="G60" i="6"/>
  <c r="C60" i="6"/>
  <c r="G56" i="6"/>
  <c r="G55" i="6"/>
  <c r="G51" i="6"/>
  <c r="G49" i="6"/>
  <c r="G48" i="6"/>
  <c r="G47" i="6"/>
  <c r="G39" i="6"/>
  <c r="G33" i="6"/>
  <c r="G32" i="6"/>
  <c r="G31" i="6"/>
  <c r="G29" i="6"/>
  <c r="G28" i="6"/>
  <c r="G25" i="6"/>
  <c r="G24" i="6"/>
  <c r="G23" i="6"/>
  <c r="G22" i="6"/>
  <c r="G21" i="6"/>
  <c r="G20" i="6"/>
  <c r="G19" i="6"/>
  <c r="G14" i="6"/>
  <c r="G13" i="6"/>
  <c r="G12" i="6"/>
  <c r="G11" i="6"/>
  <c r="G9" i="6"/>
  <c r="D9" i="6"/>
  <c r="D10" i="6" s="1"/>
  <c r="D11" i="6" s="1"/>
  <c r="D12" i="6" s="1"/>
  <c r="D13" i="6" s="1"/>
  <c r="D14" i="6" s="1"/>
  <c r="D16" i="6" s="1"/>
  <c r="D17" i="6" s="1"/>
  <c r="D19" i="6" s="1"/>
  <c r="D20" i="6" s="1"/>
  <c r="D21" i="6" s="1"/>
  <c r="D22" i="6" s="1"/>
  <c r="D23" i="6" s="1"/>
  <c r="D25" i="6" s="1"/>
  <c r="D26" i="6" s="1"/>
  <c r="D27" i="6" s="1"/>
  <c r="D28" i="6" s="1"/>
  <c r="D29" i="6" s="1"/>
  <c r="D31" i="6" s="1"/>
  <c r="D33" i="6" s="1"/>
  <c r="D34" i="6" s="1"/>
  <c r="D36" i="6" s="1"/>
  <c r="D37" i="6" s="1"/>
  <c r="D39" i="6" s="1"/>
  <c r="D40" i="6" s="1"/>
  <c r="D41" i="6" s="1"/>
  <c r="D43" i="6" s="1"/>
  <c r="D44" i="6" s="1"/>
  <c r="D46" i="6" s="1"/>
  <c r="D47" i="6" s="1"/>
  <c r="D48" i="6" s="1"/>
  <c r="D49" i="6" s="1"/>
  <c r="D51" i="6" s="1"/>
  <c r="D52" i="6" s="1"/>
  <c r="D54" i="6" s="1"/>
  <c r="D55" i="6" s="1"/>
  <c r="D56" i="6" s="1"/>
  <c r="D58" i="6" s="1"/>
  <c r="D60" i="6" s="1"/>
  <c r="D62" i="6" s="1"/>
  <c r="D64" i="6" s="1"/>
  <c r="D65" i="6" s="1"/>
  <c r="D67" i="6" s="1"/>
  <c r="D69" i="6" s="1"/>
  <c r="D71" i="6" s="1"/>
  <c r="D73" i="6" s="1"/>
  <c r="D74" i="6" s="1"/>
  <c r="D75" i="6" s="1"/>
  <c r="D76" i="6" s="1"/>
  <c r="D77" i="6" s="1"/>
  <c r="D78" i="6" s="1"/>
  <c r="D79" i="6" s="1"/>
  <c r="D81" i="6" s="1"/>
  <c r="D83" i="6" s="1"/>
  <c r="D84" i="6" s="1"/>
  <c r="D86" i="6" s="1"/>
  <c r="D87" i="6" s="1"/>
  <c r="D88" i="6" s="1"/>
  <c r="D90" i="6" s="1"/>
  <c r="D92" i="6" s="1"/>
  <c r="D93" i="6" s="1"/>
  <c r="D94" i="6" s="1"/>
  <c r="D95" i="6" s="1"/>
  <c r="D97" i="6" s="1"/>
  <c r="D99" i="6" s="1"/>
  <c r="D100" i="6" s="1"/>
  <c r="D101" i="6" s="1"/>
  <c r="D103" i="6" s="1"/>
  <c r="D105" i="6" s="1"/>
  <c r="D107" i="6" s="1"/>
  <c r="D109" i="6" s="1"/>
  <c r="D111" i="6" s="1"/>
  <c r="D113" i="6" s="1"/>
  <c r="D114" i="6" s="1"/>
  <c r="D115" i="6" s="1"/>
  <c r="D117" i="6" s="1"/>
  <c r="D119" i="6" s="1"/>
  <c r="D120" i="6" s="1"/>
  <c r="D121" i="6" s="1"/>
  <c r="D123" i="6" s="1"/>
  <c r="D125" i="6" s="1"/>
  <c r="D127" i="6" s="1"/>
  <c r="D129" i="6" s="1"/>
  <c r="D131" i="6" s="1"/>
  <c r="D133" i="6" s="1"/>
  <c r="D135" i="6" s="1"/>
  <c r="D137" i="6" s="1"/>
  <c r="D139" i="6" s="1"/>
  <c r="D141" i="6" s="1"/>
  <c r="D143" i="6" s="1"/>
  <c r="D145" i="6" s="1"/>
  <c r="D147" i="6" s="1"/>
  <c r="D149" i="6" s="1"/>
  <c r="A9" i="6"/>
  <c r="A10" i="6" s="1"/>
  <c r="A11" i="6" s="1"/>
  <c r="A12" i="6" s="1"/>
  <c r="A16" i="6" s="1"/>
  <c r="A19" i="6" s="1"/>
  <c r="A20" i="6" s="1"/>
  <c r="A21" i="6" s="1"/>
  <c r="A22" i="6" s="1"/>
  <c r="A23" i="6" s="1"/>
  <c r="A24" i="6" s="1"/>
  <c r="A25" i="6" s="1"/>
  <c r="A26" i="6" s="1"/>
  <c r="A27" i="6" s="1"/>
  <c r="A31" i="6" s="1"/>
  <c r="A33" i="6" s="1"/>
  <c r="A36" i="6" s="1"/>
  <c r="A39" i="6" s="1"/>
  <c r="A43" i="6" s="1"/>
  <c r="A46" i="6" s="1"/>
  <c r="A47" i="6" s="1"/>
  <c r="A48" i="6" s="1"/>
  <c r="A51" i="6" s="1"/>
  <c r="A54" i="6" s="1"/>
  <c r="A55" i="6" s="1"/>
  <c r="A58" i="6" s="1"/>
  <c r="A60" i="6" s="1"/>
  <c r="A62" i="6" s="1"/>
  <c r="A64" i="6" s="1"/>
  <c r="A65" i="6" s="1"/>
  <c r="A67" i="6" s="1"/>
  <c r="A69" i="6" s="1"/>
  <c r="A71" i="6" s="1"/>
  <c r="A73" i="6" s="1"/>
  <c r="A76" i="6" s="1"/>
  <c r="A81" i="6" s="1"/>
  <c r="A83" i="6" s="1"/>
  <c r="A84" i="6" s="1"/>
  <c r="A86" i="6" s="1"/>
  <c r="A87" i="6" s="1"/>
  <c r="A88" i="6" s="1"/>
  <c r="A90" i="6" s="1"/>
  <c r="A92" i="6" s="1"/>
  <c r="A93" i="6" s="1"/>
  <c r="A94" i="6" s="1"/>
  <c r="A95" i="6" s="1"/>
  <c r="A97" i="6" s="1"/>
  <c r="A99" i="6" s="1"/>
  <c r="A100" i="6" s="1"/>
  <c r="A101" i="6" s="1"/>
  <c r="A103" i="6" s="1"/>
  <c r="A105" i="6" s="1"/>
  <c r="A107" i="6" s="1"/>
  <c r="A111" i="6" s="1"/>
  <c r="A113" i="6" s="1"/>
  <c r="A115" i="6" s="1"/>
  <c r="A117" i="6" s="1"/>
  <c r="A119" i="6" s="1"/>
  <c r="A123" i="6" s="1"/>
  <c r="A125" i="6" s="1"/>
  <c r="A127" i="6" s="1"/>
  <c r="A129" i="6" s="1"/>
  <c r="A131" i="6" s="1"/>
  <c r="A135" i="6" s="1"/>
  <c r="A137" i="6" s="1"/>
  <c r="A143" i="6" s="1"/>
  <c r="A145" i="6" s="1"/>
  <c r="A147" i="6" s="1"/>
  <c r="A149" i="6" s="1"/>
  <c r="F6" i="6"/>
  <c r="A120" i="7" l="1"/>
  <c r="A123" i="7" s="1"/>
  <c r="A125" i="7" s="1"/>
  <c r="A127" i="7" s="1"/>
  <c r="A129" i="7" s="1"/>
  <c r="A131" i="7" s="1"/>
  <c r="A135" i="7" s="1"/>
  <c r="A137" i="7" s="1"/>
  <c r="A143" i="7" s="1"/>
  <c r="A145" i="7" s="1"/>
  <c r="A147" i="7" s="1"/>
  <c r="A149" i="7" s="1"/>
  <c r="D125" i="7"/>
  <c r="D127" i="7" s="1"/>
  <c r="D129" i="7" s="1"/>
  <c r="D131" i="7" s="1"/>
  <c r="D133" i="7" s="1"/>
  <c r="D135" i="7" s="1"/>
  <c r="D137" i="7" s="1"/>
  <c r="D139" i="7" s="1"/>
  <c r="D141" i="7" s="1"/>
  <c r="D143" i="7" s="1"/>
  <c r="D145" i="7" s="1"/>
  <c r="D147" i="7" s="1"/>
  <c r="D149" i="7" s="1"/>
  <c r="G6" i="6"/>
  <c r="C6" i="6"/>
  <c r="G32" i="5"/>
  <c r="G24" i="5"/>
  <c r="C117" i="5"/>
  <c r="A9" i="5"/>
  <c r="A10" i="5" s="1"/>
  <c r="A11" i="5" s="1"/>
  <c r="A12" i="5" s="1"/>
  <c r="A16" i="5" s="1"/>
  <c r="A19" i="5" s="1"/>
  <c r="A20" i="5" s="1"/>
  <c r="A21" i="5" s="1"/>
  <c r="A22" i="5" s="1"/>
  <c r="A23" i="5" s="1"/>
  <c r="A24" i="5" s="1"/>
  <c r="A25" i="5" s="1"/>
  <c r="A26" i="5" s="1"/>
  <c r="A27" i="5" s="1"/>
  <c r="A31" i="5" s="1"/>
  <c r="A33" i="5" s="1"/>
  <c r="A36" i="5" s="1"/>
  <c r="A39" i="5" s="1"/>
  <c r="A43" i="5" s="1"/>
  <c r="A46" i="5" s="1"/>
  <c r="A47" i="5" s="1"/>
  <c r="A48" i="5" s="1"/>
  <c r="A51" i="5" s="1"/>
  <c r="A54" i="5" s="1"/>
  <c r="A55" i="5" s="1"/>
  <c r="A58" i="5" s="1"/>
  <c r="A60" i="5" s="1"/>
  <c r="A62" i="5" s="1"/>
  <c r="A64" i="5" s="1"/>
  <c r="A65" i="5" s="1"/>
  <c r="A67" i="5" s="1"/>
  <c r="A69" i="5" s="1"/>
  <c r="A71" i="5" s="1"/>
  <c r="A73" i="5" s="1"/>
  <c r="A76" i="5" s="1"/>
  <c r="A81" i="5" s="1"/>
  <c r="A83" i="5" s="1"/>
  <c r="A84" i="5" s="1"/>
  <c r="A86" i="5" s="1"/>
  <c r="A87" i="5" s="1"/>
  <c r="A88" i="5" s="1"/>
  <c r="A90" i="5" s="1"/>
  <c r="A92" i="5" s="1"/>
  <c r="A93" i="5" s="1"/>
  <c r="A94" i="5" s="1"/>
  <c r="A95" i="5" s="1"/>
  <c r="A97" i="5" s="1"/>
  <c r="A99" i="5" s="1"/>
  <c r="A100" i="5" s="1"/>
  <c r="A101" i="5" s="1"/>
  <c r="A103" i="5" s="1"/>
  <c r="A105" i="5" s="1"/>
  <c r="A107" i="5" s="1"/>
  <c r="A111" i="5" s="1"/>
  <c r="A113" i="5" s="1"/>
  <c r="A115" i="5" s="1"/>
  <c r="A117" i="5" s="1"/>
  <c r="A119" i="5" s="1"/>
  <c r="A123" i="5" s="1"/>
  <c r="A125" i="5" s="1"/>
  <c r="A127" i="5" s="1"/>
  <c r="A129" i="5" s="1"/>
  <c r="A131" i="5" s="1"/>
  <c r="A135" i="5" s="1"/>
  <c r="A137" i="5" s="1"/>
  <c r="A143" i="5" s="1"/>
  <c r="A145" i="5" s="1"/>
  <c r="A147" i="5" s="1"/>
  <c r="A149" i="5" s="1"/>
  <c r="G149" i="5"/>
  <c r="G147" i="5"/>
  <c r="C145" i="5"/>
  <c r="C137" i="5"/>
  <c r="G135" i="5"/>
  <c r="G131" i="5"/>
  <c r="G120" i="5"/>
  <c r="G103" i="5"/>
  <c r="C101" i="5"/>
  <c r="G99" i="5"/>
  <c r="C97" i="5"/>
  <c r="G94" i="5"/>
  <c r="G93" i="5"/>
  <c r="C92" i="5"/>
  <c r="C84" i="5"/>
  <c r="G83" i="5"/>
  <c r="C73" i="5"/>
  <c r="C71" i="5"/>
  <c r="C65" i="5"/>
  <c r="C64" i="5"/>
  <c r="C62" i="5"/>
  <c r="G56" i="5"/>
  <c r="C55" i="5"/>
  <c r="G49" i="5"/>
  <c r="C48" i="5"/>
  <c r="C46" i="5"/>
  <c r="G28" i="5"/>
  <c r="G27" i="5"/>
  <c r="C26" i="5"/>
  <c r="G25" i="5"/>
  <c r="G21" i="5"/>
  <c r="G20" i="5"/>
  <c r="C19" i="5"/>
  <c r="G13" i="5"/>
  <c r="G11" i="5"/>
  <c r="D9" i="5"/>
  <c r="D10" i="5" s="1"/>
  <c r="D11" i="5" s="1"/>
  <c r="D12" i="5" s="1"/>
  <c r="D13" i="5" s="1"/>
  <c r="D14" i="5" s="1"/>
  <c r="D16" i="5" s="1"/>
  <c r="D17" i="5" s="1"/>
  <c r="D19" i="5" s="1"/>
  <c r="D20" i="5" s="1"/>
  <c r="D21" i="5" s="1"/>
  <c r="D22" i="5" s="1"/>
  <c r="D23" i="5" s="1"/>
  <c r="D25" i="5" s="1"/>
  <c r="D26" i="5" s="1"/>
  <c r="D27" i="5" s="1"/>
  <c r="D28" i="5" s="1"/>
  <c r="D29" i="5" s="1"/>
  <c r="D31" i="5" s="1"/>
  <c r="D33" i="5" s="1"/>
  <c r="D34" i="5" s="1"/>
  <c r="D36" i="5" s="1"/>
  <c r="D37" i="5" s="1"/>
  <c r="D39" i="5" s="1"/>
  <c r="D40" i="5" s="1"/>
  <c r="D41" i="5" s="1"/>
  <c r="D43" i="5" s="1"/>
  <c r="D44" i="5" s="1"/>
  <c r="D46" i="5" s="1"/>
  <c r="D47" i="5" s="1"/>
  <c r="D48" i="5" s="1"/>
  <c r="D49" i="5" s="1"/>
  <c r="D51" i="5" s="1"/>
  <c r="D52" i="5" s="1"/>
  <c r="D54" i="5" s="1"/>
  <c r="D55" i="5" s="1"/>
  <c r="D56" i="5" s="1"/>
  <c r="D58" i="5" s="1"/>
  <c r="D60" i="5" s="1"/>
  <c r="D62" i="5" s="1"/>
  <c r="D64" i="5" s="1"/>
  <c r="D65" i="5" s="1"/>
  <c r="D67" i="5" s="1"/>
  <c r="D69" i="5" s="1"/>
  <c r="D71" i="5" s="1"/>
  <c r="D73" i="5" s="1"/>
  <c r="D74" i="5" s="1"/>
  <c r="D75" i="5" s="1"/>
  <c r="D76" i="5" s="1"/>
  <c r="D77" i="5" s="1"/>
  <c r="D78" i="5" s="1"/>
  <c r="D79" i="5" s="1"/>
  <c r="D81" i="5" s="1"/>
  <c r="D83" i="5" s="1"/>
  <c r="D84" i="5" s="1"/>
  <c r="D86" i="5" s="1"/>
  <c r="D87" i="5" s="1"/>
  <c r="D88" i="5" s="1"/>
  <c r="D90" i="5" s="1"/>
  <c r="D92" i="5" s="1"/>
  <c r="D93" i="5" s="1"/>
  <c r="D94" i="5" s="1"/>
  <c r="D95" i="5" s="1"/>
  <c r="D97" i="5" s="1"/>
  <c r="D99" i="5" s="1"/>
  <c r="D100" i="5" s="1"/>
  <c r="D101" i="5" s="1"/>
  <c r="D103" i="5" s="1"/>
  <c r="D105" i="5" s="1"/>
  <c r="D107" i="5" s="1"/>
  <c r="D109" i="5" s="1"/>
  <c r="D111" i="5" s="1"/>
  <c r="D113" i="5" s="1"/>
  <c r="D114" i="5" s="1"/>
  <c r="D115" i="5" s="1"/>
  <c r="D117" i="5" s="1"/>
  <c r="D119" i="5" s="1"/>
  <c r="D120" i="5" s="1"/>
  <c r="D121" i="5" s="1"/>
  <c r="D123" i="5" s="1"/>
  <c r="D125" i="5" s="1"/>
  <c r="D127" i="5" s="1"/>
  <c r="D129" i="5" s="1"/>
  <c r="D131" i="5" s="1"/>
  <c r="D133" i="5" s="1"/>
  <c r="D135" i="5" s="1"/>
  <c r="D137" i="5" s="1"/>
  <c r="D139" i="5" s="1"/>
  <c r="D141" i="5" s="1"/>
  <c r="D143" i="5" s="1"/>
  <c r="D145" i="5" s="1"/>
  <c r="D147" i="5" s="1"/>
  <c r="D149" i="5" s="1"/>
  <c r="C23" i="5" l="1"/>
  <c r="G23" i="5" s="1"/>
  <c r="G29" i="5"/>
  <c r="C81" i="5"/>
  <c r="G81" i="5" s="1"/>
  <c r="G114" i="5"/>
  <c r="G88" i="5"/>
  <c r="G117" i="5"/>
  <c r="G12" i="5"/>
  <c r="G31" i="5"/>
  <c r="C58" i="5"/>
  <c r="G58" i="5" s="1"/>
  <c r="G78" i="5"/>
  <c r="G95" i="5"/>
  <c r="C107" i="5"/>
  <c r="G107" i="5" s="1"/>
  <c r="G67" i="5"/>
  <c r="C33" i="5"/>
  <c r="G33" i="5" s="1"/>
  <c r="C60" i="5"/>
  <c r="G60" i="5" s="1"/>
  <c r="G100" i="5"/>
  <c r="G125" i="5"/>
  <c r="G129" i="5"/>
  <c r="G26" i="5"/>
  <c r="G84" i="5"/>
  <c r="G145" i="5"/>
  <c r="G48" i="5"/>
  <c r="G73" i="5"/>
  <c r="G92" i="5"/>
  <c r="G65" i="5"/>
  <c r="G46" i="5"/>
  <c r="G62" i="5"/>
  <c r="G55" i="5"/>
  <c r="G19" i="5"/>
  <c r="G101" i="5"/>
  <c r="G64" i="5"/>
  <c r="G71" i="5"/>
  <c r="G97" i="5"/>
  <c r="G9" i="5"/>
  <c r="C47" i="5"/>
  <c r="C76" i="5"/>
  <c r="G133" i="5"/>
  <c r="C36" i="5"/>
  <c r="C39" i="5"/>
  <c r="C111" i="5"/>
  <c r="C143" i="5"/>
  <c r="G137" i="5"/>
  <c r="C86" i="5"/>
  <c r="G121" i="5"/>
  <c r="G139" i="5"/>
  <c r="C10" i="5"/>
  <c r="G14" i="5"/>
  <c r="C16" i="5"/>
  <c r="C69" i="5"/>
  <c r="G75" i="5"/>
  <c r="G79" i="5"/>
  <c r="G115" i="5"/>
  <c r="C43" i="5"/>
  <c r="G87" i="5"/>
  <c r="C90" i="5"/>
  <c r="G105" i="5"/>
  <c r="G109" i="5"/>
  <c r="C123" i="5"/>
  <c r="G127" i="5"/>
  <c r="G141" i="5"/>
  <c r="C54" i="5"/>
  <c r="G119" i="5"/>
  <c r="C22" i="5"/>
  <c r="C51" i="5"/>
  <c r="R12" i="3"/>
  <c r="R13" i="3" s="1"/>
  <c r="R14" i="3" s="1"/>
  <c r="R15" i="3" s="1"/>
  <c r="R19" i="3" s="1"/>
  <c r="R22" i="3" s="1"/>
  <c r="R23" i="3" s="1"/>
  <c r="R24" i="3" s="1"/>
  <c r="R25" i="3" s="1"/>
  <c r="R26" i="3" s="1"/>
  <c r="R27" i="3" s="1"/>
  <c r="R28" i="3" s="1"/>
  <c r="R29" i="3" s="1"/>
  <c r="R30" i="3" s="1"/>
  <c r="R34" i="3" s="1"/>
  <c r="R36" i="3" s="1"/>
  <c r="R39" i="3" s="1"/>
  <c r="R42" i="3" s="1"/>
  <c r="R46" i="3" s="1"/>
  <c r="R49" i="3" s="1"/>
  <c r="R50" i="3" s="1"/>
  <c r="R51" i="3" s="1"/>
  <c r="R54" i="3" s="1"/>
  <c r="R57" i="3" s="1"/>
  <c r="R58" i="3" s="1"/>
  <c r="R61" i="3" s="1"/>
  <c r="R63" i="3" s="1"/>
  <c r="R65" i="3" s="1"/>
  <c r="R67" i="3" s="1"/>
  <c r="R68" i="3" s="1"/>
  <c r="R70" i="3" s="1"/>
  <c r="R72" i="3" s="1"/>
  <c r="R74" i="3" s="1"/>
  <c r="R76" i="3" s="1"/>
  <c r="R79" i="3" s="1"/>
  <c r="R84" i="3" s="1"/>
  <c r="R86" i="3" s="1"/>
  <c r="R87" i="3" s="1"/>
  <c r="R89" i="3" s="1"/>
  <c r="R90" i="3" s="1"/>
  <c r="R91" i="3" s="1"/>
  <c r="R93" i="3" s="1"/>
  <c r="R95" i="3" s="1"/>
  <c r="R96" i="3" s="1"/>
  <c r="R97" i="3" s="1"/>
  <c r="R98" i="3" s="1"/>
  <c r="R100" i="3" s="1"/>
  <c r="R102" i="3" s="1"/>
  <c r="R103" i="3" s="1"/>
  <c r="R104" i="3" s="1"/>
  <c r="R106" i="3" s="1"/>
  <c r="R108" i="3" s="1"/>
  <c r="R110" i="3" s="1"/>
  <c r="R114" i="3" s="1"/>
  <c r="R116" i="3" s="1"/>
  <c r="R118" i="3" s="1"/>
  <c r="R120" i="3" s="1"/>
  <c r="R122" i="3" s="1"/>
  <c r="R126" i="3" s="1"/>
  <c r="R128" i="3" s="1"/>
  <c r="R130" i="3" s="1"/>
  <c r="R132" i="3" s="1"/>
  <c r="R134" i="3" s="1"/>
  <c r="R138" i="3" s="1"/>
  <c r="R140" i="3" s="1"/>
  <c r="R146" i="3" s="1"/>
  <c r="R148" i="3" s="1"/>
  <c r="R150" i="3" s="1"/>
  <c r="R152" i="3" s="1"/>
  <c r="V132" i="3"/>
  <c r="W132" i="3" s="1"/>
  <c r="E132" i="3"/>
  <c r="D132" i="3"/>
  <c r="C132" i="3" s="1"/>
  <c r="U132" i="3" s="1"/>
  <c r="C113" i="5" l="1"/>
  <c r="G113" i="5" s="1"/>
  <c r="G39" i="5"/>
  <c r="G51" i="5"/>
  <c r="G123" i="5"/>
  <c r="G69" i="5"/>
  <c r="G143" i="5"/>
  <c r="G22" i="5"/>
  <c r="G16" i="5"/>
  <c r="G111" i="5"/>
  <c r="G47" i="5"/>
  <c r="G90" i="5"/>
  <c r="G54" i="5"/>
  <c r="G10" i="5"/>
  <c r="G36" i="5"/>
  <c r="G43" i="5"/>
  <c r="G86" i="5"/>
  <c r="G76" i="5"/>
  <c r="A12" i="3"/>
  <c r="A13" i="3" s="1"/>
  <c r="A14" i="3" s="1"/>
  <c r="A15" i="3" s="1"/>
  <c r="A16" i="3" s="1"/>
  <c r="A17" i="3" s="1"/>
  <c r="A19" i="3" s="1"/>
  <c r="A20" i="3" s="1"/>
  <c r="A22" i="3" s="1"/>
  <c r="A23" i="3" s="1"/>
  <c r="A24" i="3" s="1"/>
  <c r="A25" i="3" s="1"/>
  <c r="A26" i="3" s="1"/>
  <c r="A28" i="3" s="1"/>
  <c r="V17" i="3"/>
  <c r="W17" i="3" s="1"/>
  <c r="E17" i="3"/>
  <c r="D17" i="3"/>
  <c r="V16" i="3"/>
  <c r="W16" i="3" s="1"/>
  <c r="E16" i="3"/>
  <c r="D16" i="3"/>
  <c r="V152" i="3"/>
  <c r="W152" i="3" s="1"/>
  <c r="E152" i="3"/>
  <c r="D152" i="3"/>
  <c r="V150" i="3"/>
  <c r="W150" i="3" s="1"/>
  <c r="E150" i="3"/>
  <c r="D150" i="3"/>
  <c r="V148" i="3"/>
  <c r="W148" i="3" s="1"/>
  <c r="E148" i="3"/>
  <c r="D148" i="3"/>
  <c r="E146" i="3"/>
  <c r="D146" i="3"/>
  <c r="V58" i="3"/>
  <c r="W58" i="3" s="1"/>
  <c r="E58" i="3"/>
  <c r="D58" i="3"/>
  <c r="V144" i="3"/>
  <c r="W144" i="3" s="1"/>
  <c r="E144" i="3"/>
  <c r="D144" i="3"/>
  <c r="V142" i="3"/>
  <c r="W142" i="3" s="1"/>
  <c r="E142" i="3"/>
  <c r="D142" i="3"/>
  <c r="V134" i="3"/>
  <c r="W134" i="3" s="1"/>
  <c r="E134" i="3"/>
  <c r="D134" i="3"/>
  <c r="V130" i="3"/>
  <c r="W130" i="3" s="1"/>
  <c r="E130" i="3"/>
  <c r="D130" i="3"/>
  <c r="T120" i="3"/>
  <c r="V108" i="3"/>
  <c r="W108" i="3" s="1"/>
  <c r="E108" i="3"/>
  <c r="D108" i="3"/>
  <c r="V82" i="3"/>
  <c r="W82" i="3" s="1"/>
  <c r="E82" i="3"/>
  <c r="D82" i="3"/>
  <c r="V81" i="3"/>
  <c r="W81" i="3" s="1"/>
  <c r="E81" i="3"/>
  <c r="D81" i="3"/>
  <c r="V78" i="3"/>
  <c r="W78" i="3" s="1"/>
  <c r="E78" i="3"/>
  <c r="D78" i="3"/>
  <c r="V76" i="3"/>
  <c r="W76" i="3" s="1"/>
  <c r="E76" i="3"/>
  <c r="D76" i="3"/>
  <c r="V67" i="3"/>
  <c r="W67" i="3" s="1"/>
  <c r="E67" i="3"/>
  <c r="D67" i="3"/>
  <c r="V65" i="3"/>
  <c r="W65" i="3" s="1"/>
  <c r="E65" i="3"/>
  <c r="D65" i="3"/>
  <c r="V57" i="3"/>
  <c r="W57" i="3" s="1"/>
  <c r="E57" i="3"/>
  <c r="D57" i="3"/>
  <c r="V100" i="3"/>
  <c r="W100" i="3" s="1"/>
  <c r="E100" i="3"/>
  <c r="D100" i="3"/>
  <c r="V52" i="3"/>
  <c r="W52" i="3" s="1"/>
  <c r="E52" i="3"/>
  <c r="D52" i="3"/>
  <c r="V51" i="3"/>
  <c r="W51" i="3" s="1"/>
  <c r="E51" i="3"/>
  <c r="D51" i="3"/>
  <c r="V50" i="3"/>
  <c r="W50" i="3" s="1"/>
  <c r="E50" i="3"/>
  <c r="D50" i="3"/>
  <c r="V13" i="3"/>
  <c r="W13" i="3" s="1"/>
  <c r="E13" i="3"/>
  <c r="D13" i="3"/>
  <c r="V40" i="3"/>
  <c r="W40" i="3" s="1"/>
  <c r="E40" i="3"/>
  <c r="D40" i="3"/>
  <c r="V26" i="3"/>
  <c r="W26" i="3" s="1"/>
  <c r="E26" i="3"/>
  <c r="D26" i="3"/>
  <c r="C24" i="3"/>
  <c r="U24" i="3" s="1"/>
  <c r="V24" i="3"/>
  <c r="W24" i="3" s="1"/>
  <c r="V25" i="3"/>
  <c r="W25" i="3" s="1"/>
  <c r="E25" i="3"/>
  <c r="D25" i="3"/>
  <c r="V34" i="3"/>
  <c r="W34" i="3" s="1"/>
  <c r="E34" i="3"/>
  <c r="D34" i="3"/>
  <c r="V37" i="3"/>
  <c r="W37" i="3" s="1"/>
  <c r="E37" i="3"/>
  <c r="D37" i="3"/>
  <c r="V23" i="3"/>
  <c r="W23" i="3" s="1"/>
  <c r="E23" i="3"/>
  <c r="D23" i="3"/>
  <c r="V22" i="3"/>
  <c r="W22" i="3" s="1"/>
  <c r="E22" i="3"/>
  <c r="D22" i="3"/>
  <c r="V49" i="3"/>
  <c r="W49" i="3" s="1"/>
  <c r="E49" i="3"/>
  <c r="D49" i="3"/>
  <c r="D42" i="3"/>
  <c r="E42" i="3"/>
  <c r="V42" i="3"/>
  <c r="W42" i="3" s="1"/>
  <c r="V44" i="3"/>
  <c r="W44" i="3" s="1"/>
  <c r="E44" i="3"/>
  <c r="D44" i="3"/>
  <c r="V43" i="3"/>
  <c r="W43" i="3" s="1"/>
  <c r="E43" i="3"/>
  <c r="D43" i="3"/>
  <c r="V36" i="3"/>
  <c r="W36" i="3" s="1"/>
  <c r="E36" i="3"/>
  <c r="D36" i="3"/>
  <c r="U35" i="3"/>
  <c r="V32" i="3"/>
  <c r="W32" i="3" s="1"/>
  <c r="E32" i="3"/>
  <c r="D32" i="3"/>
  <c r="V31" i="3"/>
  <c r="W31" i="3" s="1"/>
  <c r="E31" i="3"/>
  <c r="D31" i="3"/>
  <c r="V30" i="3"/>
  <c r="W30" i="3" s="1"/>
  <c r="E30" i="3"/>
  <c r="D30" i="3"/>
  <c r="V29" i="3"/>
  <c r="W29" i="3" s="1"/>
  <c r="E29" i="3"/>
  <c r="D29" i="3"/>
  <c r="V28" i="3"/>
  <c r="W28" i="3" s="1"/>
  <c r="E28" i="3"/>
  <c r="D28" i="3"/>
  <c r="U27" i="3"/>
  <c r="V15" i="3"/>
  <c r="W15" i="3" s="1"/>
  <c r="E15" i="3"/>
  <c r="D15" i="3"/>
  <c r="V14" i="3"/>
  <c r="W14" i="3" s="1"/>
  <c r="E14" i="3"/>
  <c r="D14" i="3"/>
  <c r="T110" i="4"/>
  <c r="U110" i="4" s="1"/>
  <c r="E110" i="4"/>
  <c r="D110" i="4"/>
  <c r="T109" i="4"/>
  <c r="U109" i="4" s="1"/>
  <c r="F109" i="4"/>
  <c r="D109" i="4" s="1"/>
  <c r="E109" i="4"/>
  <c r="T108" i="4"/>
  <c r="U108" i="4" s="1"/>
  <c r="E108" i="4"/>
  <c r="D108" i="4"/>
  <c r="T107" i="4"/>
  <c r="U107" i="4" s="1"/>
  <c r="E107" i="4"/>
  <c r="D107" i="4"/>
  <c r="C107" i="4" s="1"/>
  <c r="R107" i="4" s="1"/>
  <c r="S107" i="4" s="1"/>
  <c r="T106" i="4"/>
  <c r="U106" i="4" s="1"/>
  <c r="E106" i="4"/>
  <c r="D106" i="4"/>
  <c r="T105" i="4"/>
  <c r="U105" i="4" s="1"/>
  <c r="E105" i="4"/>
  <c r="D105" i="4"/>
  <c r="T104" i="4"/>
  <c r="U104" i="4" s="1"/>
  <c r="E104" i="4"/>
  <c r="D104" i="4"/>
  <c r="T103" i="4"/>
  <c r="U103" i="4" s="1"/>
  <c r="E103" i="4"/>
  <c r="D103" i="4"/>
  <c r="T102" i="4"/>
  <c r="U102" i="4" s="1"/>
  <c r="E102" i="4"/>
  <c r="D102" i="4"/>
  <c r="T101" i="4"/>
  <c r="U101" i="4" s="1"/>
  <c r="E101" i="4"/>
  <c r="C101" i="4" s="1"/>
  <c r="S101" i="4" s="1"/>
  <c r="D101" i="4"/>
  <c r="T100" i="4"/>
  <c r="U100" i="4" s="1"/>
  <c r="E100" i="4"/>
  <c r="D100" i="4"/>
  <c r="T99" i="4"/>
  <c r="U99" i="4" s="1"/>
  <c r="E99" i="4"/>
  <c r="D99" i="4"/>
  <c r="T98" i="4"/>
  <c r="U98" i="4" s="1"/>
  <c r="E98" i="4"/>
  <c r="D98" i="4"/>
  <c r="T97" i="4"/>
  <c r="U97" i="4" s="1"/>
  <c r="E97" i="4"/>
  <c r="D97" i="4"/>
  <c r="T96" i="4"/>
  <c r="U96" i="4" s="1"/>
  <c r="E96" i="4"/>
  <c r="D96" i="4"/>
  <c r="T95" i="4"/>
  <c r="U95" i="4" s="1"/>
  <c r="E95" i="4"/>
  <c r="D95" i="4"/>
  <c r="T94" i="4"/>
  <c r="U94" i="4" s="1"/>
  <c r="E94" i="4"/>
  <c r="D94" i="4"/>
  <c r="T93" i="4"/>
  <c r="U93" i="4" s="1"/>
  <c r="E93" i="4"/>
  <c r="D93" i="4"/>
  <c r="T92" i="4"/>
  <c r="U92" i="4" s="1"/>
  <c r="E92" i="4"/>
  <c r="C92" i="4" s="1"/>
  <c r="S92" i="4" s="1"/>
  <c r="D92" i="4"/>
  <c r="T91" i="4"/>
  <c r="U91" i="4" s="1"/>
  <c r="E91" i="4"/>
  <c r="D91" i="4"/>
  <c r="T90" i="4"/>
  <c r="U90" i="4" s="1"/>
  <c r="E90" i="4"/>
  <c r="D90" i="4"/>
  <c r="T89" i="4"/>
  <c r="U89" i="4" s="1"/>
  <c r="E89" i="4"/>
  <c r="D89" i="4"/>
  <c r="T88" i="4"/>
  <c r="U88" i="4" s="1"/>
  <c r="E88" i="4"/>
  <c r="D88" i="4"/>
  <c r="A88" i="4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T87" i="4"/>
  <c r="U87" i="4" s="1"/>
  <c r="E87" i="4"/>
  <c r="D87" i="4"/>
  <c r="Q86" i="4"/>
  <c r="P86" i="4"/>
  <c r="O86" i="4"/>
  <c r="N86" i="4"/>
  <c r="M86" i="4"/>
  <c r="L86" i="4"/>
  <c r="K86" i="4"/>
  <c r="J86" i="4"/>
  <c r="I86" i="4"/>
  <c r="H86" i="4"/>
  <c r="G86" i="4"/>
  <c r="T85" i="4"/>
  <c r="U85" i="4" s="1"/>
  <c r="E85" i="4"/>
  <c r="D85" i="4"/>
  <c r="T84" i="4"/>
  <c r="U84" i="4" s="1"/>
  <c r="E84" i="4"/>
  <c r="D84" i="4"/>
  <c r="T83" i="4"/>
  <c r="U83" i="4" s="1"/>
  <c r="E83" i="4"/>
  <c r="D83" i="4"/>
  <c r="T82" i="4"/>
  <c r="U82" i="4" s="1"/>
  <c r="E82" i="4"/>
  <c r="D82" i="4"/>
  <c r="T81" i="4"/>
  <c r="U81" i="4" s="1"/>
  <c r="F81" i="4"/>
  <c r="D81" i="4" s="1"/>
  <c r="E81" i="4"/>
  <c r="T80" i="4"/>
  <c r="U80" i="4" s="1"/>
  <c r="E80" i="4"/>
  <c r="D80" i="4"/>
  <c r="T79" i="4"/>
  <c r="U79" i="4" s="1"/>
  <c r="E79" i="4"/>
  <c r="D79" i="4"/>
  <c r="C79" i="4" s="1"/>
  <c r="S79" i="4" s="1"/>
  <c r="T78" i="4"/>
  <c r="U78" i="4" s="1"/>
  <c r="E78" i="4"/>
  <c r="C78" i="4" s="1"/>
  <c r="S78" i="4" s="1"/>
  <c r="D78" i="4"/>
  <c r="T77" i="4"/>
  <c r="U77" i="4" s="1"/>
  <c r="E77" i="4"/>
  <c r="D77" i="4"/>
  <c r="T76" i="4"/>
  <c r="U76" i="4" s="1"/>
  <c r="E76" i="4"/>
  <c r="D76" i="4"/>
  <c r="T75" i="4"/>
  <c r="U75" i="4" s="1"/>
  <c r="E75" i="4"/>
  <c r="D75" i="4"/>
  <c r="T74" i="4"/>
  <c r="U74" i="4" s="1"/>
  <c r="E74" i="4"/>
  <c r="D74" i="4"/>
  <c r="T73" i="4"/>
  <c r="U73" i="4" s="1"/>
  <c r="E73" i="4"/>
  <c r="D73" i="4"/>
  <c r="T72" i="4"/>
  <c r="U72" i="4" s="1"/>
  <c r="E72" i="4"/>
  <c r="D72" i="4"/>
  <c r="T71" i="4"/>
  <c r="U71" i="4" s="1"/>
  <c r="E71" i="4"/>
  <c r="D71" i="4"/>
  <c r="T70" i="4"/>
  <c r="U70" i="4" s="1"/>
  <c r="E70" i="4"/>
  <c r="D70" i="4"/>
  <c r="T69" i="4"/>
  <c r="U69" i="4" s="1"/>
  <c r="E69" i="4"/>
  <c r="D69" i="4"/>
  <c r="T68" i="4"/>
  <c r="U68" i="4" s="1"/>
  <c r="E68" i="4"/>
  <c r="D68" i="4"/>
  <c r="T67" i="4"/>
  <c r="U67" i="4" s="1"/>
  <c r="E67" i="4"/>
  <c r="D67" i="4"/>
  <c r="T66" i="4"/>
  <c r="U66" i="4" s="1"/>
  <c r="E66" i="4"/>
  <c r="D66" i="4"/>
  <c r="T65" i="4"/>
  <c r="U65" i="4" s="1"/>
  <c r="E65" i="4"/>
  <c r="D65" i="4"/>
  <c r="T64" i="4"/>
  <c r="U64" i="4" s="1"/>
  <c r="E64" i="4"/>
  <c r="D64" i="4"/>
  <c r="T63" i="4"/>
  <c r="U63" i="4" s="1"/>
  <c r="E63" i="4"/>
  <c r="D63" i="4"/>
  <c r="C63" i="4" s="1"/>
  <c r="S63" i="4" s="1"/>
  <c r="T62" i="4"/>
  <c r="U62" i="4" s="1"/>
  <c r="P62" i="4"/>
  <c r="L62" i="4"/>
  <c r="D62" i="4" s="1"/>
  <c r="E62" i="4"/>
  <c r="T61" i="4"/>
  <c r="U61" i="4" s="1"/>
  <c r="E61" i="4"/>
  <c r="D61" i="4"/>
  <c r="T60" i="4"/>
  <c r="U60" i="4" s="1"/>
  <c r="E60" i="4"/>
  <c r="D60" i="4"/>
  <c r="T59" i="4"/>
  <c r="U59" i="4" s="1"/>
  <c r="E59" i="4"/>
  <c r="C59" i="4" s="1"/>
  <c r="S59" i="4" s="1"/>
  <c r="D59" i="4"/>
  <c r="A59" i="4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T58" i="4"/>
  <c r="U58" i="4" s="1"/>
  <c r="E58" i="4"/>
  <c r="C58" i="4" s="1"/>
  <c r="R58" i="4" s="1"/>
  <c r="D58" i="4"/>
  <c r="Q57" i="4"/>
  <c r="P57" i="4"/>
  <c r="O57" i="4"/>
  <c r="N57" i="4"/>
  <c r="M57" i="4"/>
  <c r="K57" i="4"/>
  <c r="J57" i="4"/>
  <c r="I57" i="4"/>
  <c r="H57" i="4"/>
  <c r="G57" i="4"/>
  <c r="T56" i="4"/>
  <c r="U56" i="4" s="1"/>
  <c r="E56" i="4"/>
  <c r="D56" i="4"/>
  <c r="T55" i="4"/>
  <c r="U55" i="4" s="1"/>
  <c r="T54" i="4"/>
  <c r="U54" i="4" s="1"/>
  <c r="E54" i="4"/>
  <c r="D54" i="4"/>
  <c r="T53" i="4"/>
  <c r="U53" i="4" s="1"/>
  <c r="E53" i="4"/>
  <c r="D53" i="4"/>
  <c r="C53" i="4" s="1"/>
  <c r="R53" i="4" s="1"/>
  <c r="S53" i="4" s="1"/>
  <c r="T52" i="4"/>
  <c r="U52" i="4" s="1"/>
  <c r="E52" i="4"/>
  <c r="D52" i="4"/>
  <c r="A52" i="4"/>
  <c r="A53" i="4" s="1"/>
  <c r="A54" i="4" s="1"/>
  <c r="A55" i="4" s="1"/>
  <c r="A56" i="4" s="1"/>
  <c r="U51" i="4"/>
  <c r="T51" i="4"/>
  <c r="E51" i="4"/>
  <c r="D51" i="4"/>
  <c r="C51" i="4" s="1"/>
  <c r="S51" i="4" s="1"/>
  <c r="Q50" i="4"/>
  <c r="P50" i="4"/>
  <c r="O50" i="4"/>
  <c r="N50" i="4"/>
  <c r="M50" i="4"/>
  <c r="L50" i="4"/>
  <c r="K50" i="4"/>
  <c r="J50" i="4"/>
  <c r="I50" i="4"/>
  <c r="H50" i="4"/>
  <c r="G50" i="4"/>
  <c r="T50" i="4" s="1"/>
  <c r="U50" i="4" s="1"/>
  <c r="F50" i="4"/>
  <c r="T49" i="4"/>
  <c r="U49" i="4" s="1"/>
  <c r="E49" i="4"/>
  <c r="D49" i="4"/>
  <c r="T48" i="4"/>
  <c r="U48" i="4" s="1"/>
  <c r="E48" i="4"/>
  <c r="D48" i="4"/>
  <c r="T47" i="4"/>
  <c r="U47" i="4" s="1"/>
  <c r="E47" i="4"/>
  <c r="D47" i="4"/>
  <c r="T46" i="4"/>
  <c r="U46" i="4" s="1"/>
  <c r="E46" i="4"/>
  <c r="D46" i="4"/>
  <c r="T45" i="4"/>
  <c r="U45" i="4" s="1"/>
  <c r="E45" i="4"/>
  <c r="D45" i="4"/>
  <c r="T44" i="4"/>
  <c r="U44" i="4" s="1"/>
  <c r="E44" i="4"/>
  <c r="D44" i="4"/>
  <c r="T43" i="4"/>
  <c r="U43" i="4" s="1"/>
  <c r="E43" i="4"/>
  <c r="D43" i="4"/>
  <c r="T42" i="4"/>
  <c r="U42" i="4" s="1"/>
  <c r="E42" i="4"/>
  <c r="D42" i="4"/>
  <c r="T41" i="4"/>
  <c r="U41" i="4" s="1"/>
  <c r="E41" i="4"/>
  <c r="D41" i="4"/>
  <c r="A41" i="4"/>
  <c r="A42" i="4" s="1"/>
  <c r="A43" i="4" s="1"/>
  <c r="A44" i="4" s="1"/>
  <c r="A45" i="4" s="1"/>
  <c r="A46" i="4" s="1"/>
  <c r="A47" i="4" s="1"/>
  <c r="A48" i="4" s="1"/>
  <c r="A49" i="4" s="1"/>
  <c r="T40" i="4"/>
  <c r="U40" i="4" s="1"/>
  <c r="E40" i="4"/>
  <c r="D40" i="4"/>
  <c r="Q39" i="4"/>
  <c r="P39" i="4"/>
  <c r="O39" i="4"/>
  <c r="N39" i="4"/>
  <c r="M39" i="4"/>
  <c r="M38" i="4" s="1"/>
  <c r="L39" i="4"/>
  <c r="K39" i="4"/>
  <c r="J39" i="4"/>
  <c r="I39" i="4"/>
  <c r="H39" i="4"/>
  <c r="G39" i="4"/>
  <c r="F39" i="4"/>
  <c r="H38" i="4"/>
  <c r="T37" i="4"/>
  <c r="U37" i="4" s="1"/>
  <c r="E37" i="4"/>
  <c r="D37" i="4"/>
  <c r="T36" i="4"/>
  <c r="U36" i="4" s="1"/>
  <c r="E36" i="4"/>
  <c r="D36" i="4"/>
  <c r="C36" i="4" s="1"/>
  <c r="T35" i="4"/>
  <c r="U35" i="4" s="1"/>
  <c r="E35" i="4"/>
  <c r="D35" i="4"/>
  <c r="T34" i="4"/>
  <c r="U34" i="4" s="1"/>
  <c r="F34" i="4"/>
  <c r="D34" i="4" s="1"/>
  <c r="E34" i="4"/>
  <c r="T33" i="4"/>
  <c r="U33" i="4" s="1"/>
  <c r="E33" i="4"/>
  <c r="D33" i="4"/>
  <c r="C33" i="4" s="1"/>
  <c r="S33" i="4" s="1"/>
  <c r="T32" i="4"/>
  <c r="U32" i="4" s="1"/>
  <c r="E32" i="4"/>
  <c r="D32" i="4"/>
  <c r="T31" i="4"/>
  <c r="U31" i="4" s="1"/>
  <c r="E31" i="4"/>
  <c r="D31" i="4"/>
  <c r="T30" i="4"/>
  <c r="U30" i="4" s="1"/>
  <c r="E30" i="4"/>
  <c r="D30" i="4"/>
  <c r="T29" i="4"/>
  <c r="U29" i="4" s="1"/>
  <c r="E29" i="4"/>
  <c r="D29" i="4"/>
  <c r="T28" i="4"/>
  <c r="U28" i="4" s="1"/>
  <c r="E28" i="4"/>
  <c r="D28" i="4"/>
  <c r="C28" i="4" s="1"/>
  <c r="R28" i="4" s="1"/>
  <c r="S28" i="4" s="1"/>
  <c r="T27" i="4"/>
  <c r="U27" i="4" s="1"/>
  <c r="E27" i="4"/>
  <c r="D27" i="4"/>
  <c r="T26" i="4"/>
  <c r="U26" i="4" s="1"/>
  <c r="E26" i="4"/>
  <c r="D26" i="4"/>
  <c r="T25" i="4"/>
  <c r="U25" i="4" s="1"/>
  <c r="E25" i="4"/>
  <c r="D25" i="4"/>
  <c r="T24" i="4"/>
  <c r="U24" i="4" s="1"/>
  <c r="E24" i="4"/>
  <c r="D24" i="4"/>
  <c r="T23" i="4"/>
  <c r="U23" i="4" s="1"/>
  <c r="O23" i="4"/>
  <c r="O9" i="4" s="1"/>
  <c r="E23" i="4"/>
  <c r="D23" i="4"/>
  <c r="C23" i="4" s="1"/>
  <c r="R23" i="4" s="1"/>
  <c r="S23" i="4" s="1"/>
  <c r="T22" i="4"/>
  <c r="U22" i="4" s="1"/>
  <c r="E22" i="4"/>
  <c r="D22" i="4"/>
  <c r="T21" i="4"/>
  <c r="U21" i="4" s="1"/>
  <c r="E21" i="4"/>
  <c r="D21" i="4"/>
  <c r="T20" i="4"/>
  <c r="U20" i="4" s="1"/>
  <c r="E20" i="4"/>
  <c r="D20" i="4"/>
  <c r="T19" i="4"/>
  <c r="U19" i="4" s="1"/>
  <c r="E19" i="4"/>
  <c r="D19" i="4"/>
  <c r="U18" i="4"/>
  <c r="T18" i="4"/>
  <c r="E18" i="4"/>
  <c r="D18" i="4"/>
  <c r="C18" i="4" s="1"/>
  <c r="R18" i="4" s="1"/>
  <c r="S18" i="4" s="1"/>
  <c r="U17" i="4"/>
  <c r="T17" i="4"/>
  <c r="E17" i="4"/>
  <c r="D17" i="4"/>
  <c r="C17" i="4" s="1"/>
  <c r="R17" i="4" s="1"/>
  <c r="S17" i="4" s="1"/>
  <c r="U16" i="4"/>
  <c r="T16" i="4"/>
  <c r="E16" i="4"/>
  <c r="D16" i="4"/>
  <c r="U15" i="4"/>
  <c r="T15" i="4"/>
  <c r="E15" i="4"/>
  <c r="D15" i="4"/>
  <c r="C15" i="4" s="1"/>
  <c r="R15" i="4" s="1"/>
  <c r="S15" i="4" s="1"/>
  <c r="U14" i="4"/>
  <c r="T14" i="4"/>
  <c r="E14" i="4"/>
  <c r="D14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T12" i="4"/>
  <c r="U12" i="4" s="1"/>
  <c r="E12" i="4"/>
  <c r="D12" i="4"/>
  <c r="C12" i="4" s="1"/>
  <c r="S12" i="4" s="1"/>
  <c r="A12" i="4"/>
  <c r="T10" i="4"/>
  <c r="U10" i="4" s="1"/>
  <c r="E10" i="4"/>
  <c r="D10" i="4"/>
  <c r="C10" i="4" s="1"/>
  <c r="R10" i="4" s="1"/>
  <c r="Q9" i="4"/>
  <c r="P9" i="4"/>
  <c r="N9" i="4"/>
  <c r="M9" i="4"/>
  <c r="L9" i="4"/>
  <c r="K9" i="4"/>
  <c r="J9" i="4"/>
  <c r="I9" i="4"/>
  <c r="H9" i="4"/>
  <c r="H8" i="4" s="1"/>
  <c r="G9" i="4"/>
  <c r="V12" i="3"/>
  <c r="W12" i="3" s="1"/>
  <c r="E12" i="3"/>
  <c r="D12" i="3"/>
  <c r="V122" i="3"/>
  <c r="W122" i="3" s="1"/>
  <c r="F122" i="3"/>
  <c r="D122" i="3" s="1"/>
  <c r="E122" i="3"/>
  <c r="V123" i="3"/>
  <c r="W123" i="3" s="1"/>
  <c r="E123" i="3"/>
  <c r="D123" i="3"/>
  <c r="V59" i="3"/>
  <c r="W59" i="3" s="1"/>
  <c r="E59" i="3"/>
  <c r="D59" i="3"/>
  <c r="V91" i="3"/>
  <c r="W91" i="3" s="1"/>
  <c r="E91" i="3"/>
  <c r="D91" i="3"/>
  <c r="V68" i="3"/>
  <c r="W68" i="3" s="1"/>
  <c r="E68" i="3"/>
  <c r="D68" i="3"/>
  <c r="V98" i="3"/>
  <c r="W98" i="3" s="1"/>
  <c r="E98" i="3"/>
  <c r="D98" i="3"/>
  <c r="V97" i="3"/>
  <c r="W97" i="3" s="1"/>
  <c r="E97" i="3"/>
  <c r="D97" i="3"/>
  <c r="V117" i="3"/>
  <c r="W117" i="3" s="1"/>
  <c r="E117" i="3"/>
  <c r="D117" i="3"/>
  <c r="V116" i="3"/>
  <c r="W116" i="3" s="1"/>
  <c r="E116" i="3"/>
  <c r="D116" i="3"/>
  <c r="V87" i="3"/>
  <c r="W87" i="3" s="1"/>
  <c r="E87" i="3"/>
  <c r="D87" i="3"/>
  <c r="V104" i="3"/>
  <c r="W104" i="3" s="1"/>
  <c r="E104" i="3"/>
  <c r="D104" i="3"/>
  <c r="V124" i="3"/>
  <c r="W124" i="3" s="1"/>
  <c r="F124" i="3"/>
  <c r="D124" i="3" s="1"/>
  <c r="E124" i="3"/>
  <c r="V112" i="3"/>
  <c r="W112" i="3" s="1"/>
  <c r="E112" i="3"/>
  <c r="D112" i="3"/>
  <c r="V118" i="3"/>
  <c r="W118" i="3" s="1"/>
  <c r="E118" i="3"/>
  <c r="D118" i="3"/>
  <c r="V136" i="3"/>
  <c r="W136" i="3" s="1"/>
  <c r="E136" i="3"/>
  <c r="D136" i="3"/>
  <c r="V96" i="3"/>
  <c r="W96" i="3" s="1"/>
  <c r="E96" i="3"/>
  <c r="D96" i="3"/>
  <c r="V80" i="3"/>
  <c r="W80" i="3" s="1"/>
  <c r="E80" i="3"/>
  <c r="D80" i="3"/>
  <c r="V79" i="3"/>
  <c r="W79" i="3" s="1"/>
  <c r="E79" i="3"/>
  <c r="D79" i="3"/>
  <c r="V86" i="3"/>
  <c r="W86" i="3" s="1"/>
  <c r="E86" i="3"/>
  <c r="D86" i="3"/>
  <c r="V90" i="3"/>
  <c r="W90" i="3" s="1"/>
  <c r="E90" i="3"/>
  <c r="D90" i="3"/>
  <c r="V102" i="3"/>
  <c r="W102" i="3" s="1"/>
  <c r="E102" i="3"/>
  <c r="D102" i="3"/>
  <c r="V72" i="3"/>
  <c r="W72" i="3" s="1"/>
  <c r="P72" i="3"/>
  <c r="L72" i="3"/>
  <c r="E72" i="3"/>
  <c r="V77" i="3"/>
  <c r="W77" i="3" s="1"/>
  <c r="E77" i="3"/>
  <c r="D77" i="3"/>
  <c r="V95" i="3"/>
  <c r="W95" i="3" s="1"/>
  <c r="E95" i="3"/>
  <c r="D95" i="3"/>
  <c r="V103" i="3"/>
  <c r="W103" i="3" s="1"/>
  <c r="E103" i="3"/>
  <c r="D103" i="3"/>
  <c r="V140" i="3"/>
  <c r="W140" i="3" s="1"/>
  <c r="E140" i="3"/>
  <c r="D140" i="3"/>
  <c r="V138" i="3"/>
  <c r="W138" i="3" s="1"/>
  <c r="E138" i="3"/>
  <c r="D138" i="3"/>
  <c r="V128" i="3"/>
  <c r="W128" i="3" s="1"/>
  <c r="E128" i="3"/>
  <c r="D128" i="3"/>
  <c r="V106" i="3"/>
  <c r="W106" i="3" s="1"/>
  <c r="E106" i="3"/>
  <c r="D106" i="3"/>
  <c r="V126" i="3"/>
  <c r="W126" i="3" s="1"/>
  <c r="F126" i="3"/>
  <c r="E126" i="3"/>
  <c r="V120" i="3"/>
  <c r="W120" i="3" s="1"/>
  <c r="E120" i="3"/>
  <c r="D120" i="3"/>
  <c r="V70" i="3"/>
  <c r="W70" i="3" s="1"/>
  <c r="E70" i="3"/>
  <c r="D70" i="3"/>
  <c r="V114" i="3"/>
  <c r="W114" i="3" s="1"/>
  <c r="E114" i="3"/>
  <c r="D114" i="3"/>
  <c r="V110" i="3"/>
  <c r="W110" i="3" s="1"/>
  <c r="E110" i="3"/>
  <c r="D110" i="3"/>
  <c r="V74" i="3"/>
  <c r="W74" i="3" s="1"/>
  <c r="E74" i="3"/>
  <c r="D74" i="3"/>
  <c r="V93" i="3"/>
  <c r="W93" i="3" s="1"/>
  <c r="E93" i="3"/>
  <c r="D93" i="3"/>
  <c r="V84" i="3"/>
  <c r="W84" i="3" s="1"/>
  <c r="E84" i="3"/>
  <c r="D84" i="3"/>
  <c r="V89" i="3"/>
  <c r="W89" i="3" s="1"/>
  <c r="E89" i="3"/>
  <c r="D89" i="3"/>
  <c r="V63" i="3"/>
  <c r="W63" i="3" s="1"/>
  <c r="E63" i="3"/>
  <c r="D63" i="3"/>
  <c r="V61" i="3"/>
  <c r="W61" i="3" s="1"/>
  <c r="E61" i="3"/>
  <c r="D61" i="3"/>
  <c r="V55" i="3"/>
  <c r="W55" i="3" s="1"/>
  <c r="O55" i="3"/>
  <c r="E55" i="3"/>
  <c r="D55" i="3"/>
  <c r="V54" i="3"/>
  <c r="W54" i="3" s="1"/>
  <c r="E54" i="3"/>
  <c r="D54" i="3"/>
  <c r="V47" i="3"/>
  <c r="W47" i="3" s="1"/>
  <c r="E47" i="3"/>
  <c r="D47" i="3"/>
  <c r="V46" i="3"/>
  <c r="W46" i="3" s="1"/>
  <c r="E46" i="3"/>
  <c r="D46" i="3"/>
  <c r="V39" i="3"/>
  <c r="W39" i="3" s="1"/>
  <c r="E39" i="3"/>
  <c r="D39" i="3"/>
  <c r="V20" i="3"/>
  <c r="W20" i="3" s="1"/>
  <c r="E20" i="3"/>
  <c r="D20" i="3"/>
  <c r="V19" i="3"/>
  <c r="W19" i="3" s="1"/>
  <c r="E19" i="3"/>
  <c r="D19" i="3"/>
  <c r="V10" i="3"/>
  <c r="W10" i="3" s="1"/>
  <c r="E10" i="3"/>
  <c r="D10" i="3"/>
  <c r="L59" i="2"/>
  <c r="E39" i="4" l="1"/>
  <c r="C76" i="4"/>
  <c r="S76" i="4" s="1"/>
  <c r="C82" i="4"/>
  <c r="R82" i="4" s="1"/>
  <c r="S82" i="4" s="1"/>
  <c r="C21" i="4"/>
  <c r="R21" i="4" s="1"/>
  <c r="S21" i="4" s="1"/>
  <c r="C30" i="4"/>
  <c r="R30" i="4" s="1"/>
  <c r="S30" i="4" s="1"/>
  <c r="C43" i="4"/>
  <c r="R43" i="4" s="1"/>
  <c r="S43" i="4" s="1"/>
  <c r="C47" i="4"/>
  <c r="C67" i="4"/>
  <c r="S67" i="4" s="1"/>
  <c r="C70" i="4"/>
  <c r="S70" i="4" s="1"/>
  <c r="C88" i="4"/>
  <c r="R88" i="4" s="1"/>
  <c r="S88" i="4" s="1"/>
  <c r="C105" i="4"/>
  <c r="S105" i="4" s="1"/>
  <c r="C25" i="4"/>
  <c r="R25" i="4" s="1"/>
  <c r="S25" i="4" s="1"/>
  <c r="C26" i="4"/>
  <c r="R26" i="4" s="1"/>
  <c r="S26" i="4" s="1"/>
  <c r="C29" i="4"/>
  <c r="R29" i="4" s="1"/>
  <c r="S29" i="4" s="1"/>
  <c r="C35" i="4"/>
  <c r="C45" i="4"/>
  <c r="R45" i="4" s="1"/>
  <c r="S45" i="4" s="1"/>
  <c r="C72" i="4"/>
  <c r="S72" i="4" s="1"/>
  <c r="C83" i="4"/>
  <c r="R83" i="4" s="1"/>
  <c r="S83" i="4" s="1"/>
  <c r="T86" i="4"/>
  <c r="U86" i="4" s="1"/>
  <c r="C87" i="4"/>
  <c r="C89" i="4"/>
  <c r="S89" i="4" s="1"/>
  <c r="C95" i="4"/>
  <c r="R95" i="4" s="1"/>
  <c r="S95" i="4" s="1"/>
  <c r="C102" i="4"/>
  <c r="R102" i="4" s="1"/>
  <c r="S102" i="4" s="1"/>
  <c r="C106" i="4"/>
  <c r="S106" i="4" s="1"/>
  <c r="C22" i="4"/>
  <c r="R22" i="4" s="1"/>
  <c r="S22" i="4" s="1"/>
  <c r="C32" i="4"/>
  <c r="S32" i="4" s="1"/>
  <c r="C48" i="4"/>
  <c r="S48" i="4" s="1"/>
  <c r="P38" i="4"/>
  <c r="P8" i="4" s="1"/>
  <c r="T57" i="4"/>
  <c r="U57" i="4" s="1"/>
  <c r="C64" i="4"/>
  <c r="S64" i="4" s="1"/>
  <c r="C81" i="4"/>
  <c r="S81" i="4" s="1"/>
  <c r="C93" i="4"/>
  <c r="S93" i="4" s="1"/>
  <c r="C99" i="4"/>
  <c r="R99" i="4" s="1"/>
  <c r="S99" i="4" s="1"/>
  <c r="C100" i="4"/>
  <c r="C109" i="4"/>
  <c r="S109" i="4" s="1"/>
  <c r="F9" i="4"/>
  <c r="C19" i="4"/>
  <c r="R19" i="4" s="1"/>
  <c r="S19" i="4" s="1"/>
  <c r="C31" i="4"/>
  <c r="R31" i="4" s="1"/>
  <c r="S31" i="4" s="1"/>
  <c r="C37" i="4"/>
  <c r="M8" i="4"/>
  <c r="E50" i="4"/>
  <c r="E38" i="4" s="1"/>
  <c r="C60" i="4"/>
  <c r="R60" i="4" s="1"/>
  <c r="S60" i="4" s="1"/>
  <c r="C61" i="4"/>
  <c r="R61" i="4" s="1"/>
  <c r="S61" i="4" s="1"/>
  <c r="C68" i="4"/>
  <c r="S68" i="4" s="1"/>
  <c r="C96" i="4"/>
  <c r="S96" i="4" s="1"/>
  <c r="C16" i="3"/>
  <c r="U16" i="3" s="1"/>
  <c r="C150" i="3"/>
  <c r="U150" i="3" s="1"/>
  <c r="A29" i="3"/>
  <c r="A30" i="3" s="1"/>
  <c r="A31" i="3" s="1"/>
  <c r="A32" i="3" s="1"/>
  <c r="A34" i="3" s="1"/>
  <c r="A36" i="3" s="1"/>
  <c r="A37" i="3" s="1"/>
  <c r="A39" i="3" s="1"/>
  <c r="A40" i="3" s="1"/>
  <c r="C17" i="3"/>
  <c r="U17" i="3" s="1"/>
  <c r="C152" i="3"/>
  <c r="U152" i="3" s="1"/>
  <c r="C148" i="3"/>
  <c r="T148" i="3" s="1"/>
  <c r="U148" i="3" s="1"/>
  <c r="C144" i="3"/>
  <c r="U144" i="3" s="1"/>
  <c r="C58" i="3"/>
  <c r="T58" i="3" s="1"/>
  <c r="U58" i="3" s="1"/>
  <c r="C146" i="3"/>
  <c r="C142" i="3"/>
  <c r="U142" i="3" s="1"/>
  <c r="C134" i="3"/>
  <c r="U134" i="3" s="1"/>
  <c r="C130" i="3"/>
  <c r="C108" i="3"/>
  <c r="T108" i="3" s="1"/>
  <c r="U108" i="3" s="1"/>
  <c r="C16" i="4"/>
  <c r="R16" i="4" s="1"/>
  <c r="S16" i="4" s="1"/>
  <c r="I38" i="4"/>
  <c r="I8" i="4" s="1"/>
  <c r="Q38" i="4"/>
  <c r="C54" i="4"/>
  <c r="S54" i="4" s="1"/>
  <c r="C74" i="4"/>
  <c r="R74" i="4" s="1"/>
  <c r="S74" i="4" s="1"/>
  <c r="C91" i="4"/>
  <c r="S91" i="4" s="1"/>
  <c r="C97" i="4"/>
  <c r="S97" i="4" s="1"/>
  <c r="C103" i="4"/>
  <c r="R103" i="4" s="1"/>
  <c r="S103" i="4" s="1"/>
  <c r="C24" i="4"/>
  <c r="R24" i="4" s="1"/>
  <c r="S24" i="4" s="1"/>
  <c r="C41" i="4"/>
  <c r="R41" i="4" s="1"/>
  <c r="S41" i="4" s="1"/>
  <c r="C49" i="4"/>
  <c r="S49" i="4" s="1"/>
  <c r="K38" i="4"/>
  <c r="K8" i="4" s="1"/>
  <c r="C66" i="4"/>
  <c r="S66" i="4" s="1"/>
  <c r="C77" i="4"/>
  <c r="S77" i="4" s="1"/>
  <c r="C84" i="4"/>
  <c r="R84" i="4" s="1"/>
  <c r="S84" i="4" s="1"/>
  <c r="C94" i="4"/>
  <c r="S94" i="4" s="1"/>
  <c r="O38" i="4"/>
  <c r="O8" i="4" s="1"/>
  <c r="L38" i="4"/>
  <c r="C75" i="4"/>
  <c r="S75" i="4" s="1"/>
  <c r="C27" i="4"/>
  <c r="R27" i="4" s="1"/>
  <c r="S27" i="4" s="1"/>
  <c r="C62" i="4"/>
  <c r="R62" i="4" s="1"/>
  <c r="S62" i="4" s="1"/>
  <c r="C98" i="4"/>
  <c r="S98" i="4" s="1"/>
  <c r="C110" i="4"/>
  <c r="S110" i="4" s="1"/>
  <c r="C20" i="4"/>
  <c r="R20" i="4" s="1"/>
  <c r="S20" i="4" s="1"/>
  <c r="C44" i="4"/>
  <c r="C46" i="4"/>
  <c r="R46" i="4" s="1"/>
  <c r="S46" i="4" s="1"/>
  <c r="F38" i="4"/>
  <c r="N38" i="4"/>
  <c r="N8" i="4" s="1"/>
  <c r="C56" i="4"/>
  <c r="R56" i="4" s="1"/>
  <c r="S56" i="4" s="1"/>
  <c r="C69" i="4"/>
  <c r="R69" i="4" s="1"/>
  <c r="S69" i="4" s="1"/>
  <c r="C71" i="4"/>
  <c r="S71" i="4" s="1"/>
  <c r="C73" i="4"/>
  <c r="R73" i="4" s="1"/>
  <c r="S73" i="4" s="1"/>
  <c r="C80" i="4"/>
  <c r="S80" i="4" s="1"/>
  <c r="C85" i="4"/>
  <c r="R85" i="4" s="1"/>
  <c r="S85" i="4" s="1"/>
  <c r="E86" i="4"/>
  <c r="C104" i="4"/>
  <c r="S104" i="4" s="1"/>
  <c r="C108" i="4"/>
  <c r="S108" i="4" s="1"/>
  <c r="Q8" i="4"/>
  <c r="D9" i="4"/>
  <c r="J38" i="4"/>
  <c r="J8" i="4" s="1"/>
  <c r="C42" i="4"/>
  <c r="R42" i="4" s="1"/>
  <c r="S42" i="4" s="1"/>
  <c r="C65" i="4"/>
  <c r="R65" i="4" s="1"/>
  <c r="S65" i="4" s="1"/>
  <c r="F57" i="4"/>
  <c r="F86" i="4"/>
  <c r="C78" i="3"/>
  <c r="U78" i="3" s="1"/>
  <c r="C82" i="3"/>
  <c r="U82" i="3" s="1"/>
  <c r="C81" i="3"/>
  <c r="U81" i="3" s="1"/>
  <c r="C76" i="3"/>
  <c r="C67" i="3"/>
  <c r="T67" i="3" s="1"/>
  <c r="U67" i="3" s="1"/>
  <c r="C65" i="3"/>
  <c r="C57" i="3"/>
  <c r="T57" i="3" s="1"/>
  <c r="U57" i="3" s="1"/>
  <c r="C100" i="3"/>
  <c r="C52" i="3"/>
  <c r="U52" i="3" s="1"/>
  <c r="C51" i="3"/>
  <c r="T51" i="3" s="1"/>
  <c r="U51" i="3" s="1"/>
  <c r="C50" i="3"/>
  <c r="T50" i="3" s="1"/>
  <c r="U50" i="3" s="1"/>
  <c r="C40" i="3"/>
  <c r="C13" i="3"/>
  <c r="C26" i="3"/>
  <c r="T26" i="3" s="1"/>
  <c r="U26" i="3" s="1"/>
  <c r="C25" i="3"/>
  <c r="C34" i="3"/>
  <c r="U34" i="3" s="1"/>
  <c r="C37" i="3"/>
  <c r="C22" i="3"/>
  <c r="C49" i="3"/>
  <c r="T49" i="3" s="1"/>
  <c r="U49" i="3" s="1"/>
  <c r="C23" i="3"/>
  <c r="U23" i="3" s="1"/>
  <c r="C42" i="3"/>
  <c r="C44" i="3"/>
  <c r="C43" i="3"/>
  <c r="C31" i="3"/>
  <c r="U31" i="3" s="1"/>
  <c r="C36" i="3"/>
  <c r="C32" i="3"/>
  <c r="U32" i="3" s="1"/>
  <c r="C29" i="3"/>
  <c r="T29" i="3" s="1"/>
  <c r="U29" i="3" s="1"/>
  <c r="C30" i="3"/>
  <c r="U30" i="3" s="1"/>
  <c r="C28" i="3"/>
  <c r="U28" i="3" s="1"/>
  <c r="C14" i="3"/>
  <c r="U14" i="3" s="1"/>
  <c r="C15" i="3"/>
  <c r="U15" i="3" s="1"/>
  <c r="C124" i="3"/>
  <c r="U124" i="3" s="1"/>
  <c r="C91" i="3"/>
  <c r="U91" i="3" s="1"/>
  <c r="C120" i="3"/>
  <c r="U120" i="3" s="1"/>
  <c r="C68" i="3"/>
  <c r="T68" i="3" s="1"/>
  <c r="U68" i="3" s="1"/>
  <c r="C39" i="3"/>
  <c r="C89" i="3"/>
  <c r="T89" i="3" s="1"/>
  <c r="U89" i="3" s="1"/>
  <c r="C54" i="3"/>
  <c r="C84" i="3"/>
  <c r="T84" i="3" s="1"/>
  <c r="U84" i="3" s="1"/>
  <c r="C114" i="3"/>
  <c r="C20" i="3"/>
  <c r="C96" i="3"/>
  <c r="U96" i="3" s="1"/>
  <c r="C104" i="3"/>
  <c r="T104" i="3" s="1"/>
  <c r="U104" i="3" s="1"/>
  <c r="C74" i="3"/>
  <c r="T74" i="3" s="1"/>
  <c r="C19" i="3"/>
  <c r="C55" i="3"/>
  <c r="C63" i="3"/>
  <c r="C97" i="3"/>
  <c r="U97" i="3" s="1"/>
  <c r="S10" i="4"/>
  <c r="C14" i="4"/>
  <c r="R14" i="4" s="1"/>
  <c r="S14" i="4" s="1"/>
  <c r="C34" i="4"/>
  <c r="R34" i="4" s="1"/>
  <c r="S34" i="4" s="1"/>
  <c r="R87" i="4"/>
  <c r="D86" i="4"/>
  <c r="C90" i="4"/>
  <c r="R90" i="4" s="1"/>
  <c r="S90" i="4" s="1"/>
  <c r="T39" i="4"/>
  <c r="U39" i="4" s="1"/>
  <c r="G38" i="4"/>
  <c r="T38" i="4" s="1"/>
  <c r="U38" i="4" s="1"/>
  <c r="C52" i="4"/>
  <c r="R52" i="4" s="1"/>
  <c r="D50" i="4"/>
  <c r="C40" i="4"/>
  <c r="D39" i="4"/>
  <c r="S58" i="4"/>
  <c r="E9" i="4"/>
  <c r="L57" i="4"/>
  <c r="L8" i="4" s="1"/>
  <c r="D57" i="4"/>
  <c r="E57" i="4"/>
  <c r="C47" i="3"/>
  <c r="C70" i="3"/>
  <c r="U70" i="3" s="1"/>
  <c r="C93" i="3"/>
  <c r="C128" i="3"/>
  <c r="C123" i="3"/>
  <c r="U123" i="3" s="1"/>
  <c r="C46" i="3"/>
  <c r="C10" i="3"/>
  <c r="C106" i="3"/>
  <c r="T106" i="3" s="1"/>
  <c r="U106" i="3" s="1"/>
  <c r="D126" i="3"/>
  <c r="C126" i="3" s="1"/>
  <c r="T126" i="3" s="1"/>
  <c r="U126" i="3" s="1"/>
  <c r="C118" i="3"/>
  <c r="U118" i="3" s="1"/>
  <c r="C61" i="3"/>
  <c r="C140" i="3"/>
  <c r="T140" i="3" s="1"/>
  <c r="U140" i="3" s="1"/>
  <c r="C59" i="3"/>
  <c r="U59" i="3" s="1"/>
  <c r="C110" i="3"/>
  <c r="D72" i="3"/>
  <c r="C72" i="3" s="1"/>
  <c r="T72" i="3" s="1"/>
  <c r="U72" i="3" s="1"/>
  <c r="C112" i="3"/>
  <c r="U112" i="3" s="1"/>
  <c r="C87" i="3"/>
  <c r="T87" i="3" s="1"/>
  <c r="U87" i="3" s="1"/>
  <c r="C77" i="3"/>
  <c r="C102" i="3"/>
  <c r="U102" i="3" s="1"/>
  <c r="C79" i="3"/>
  <c r="C86" i="3"/>
  <c r="U86" i="3" s="1"/>
  <c r="C80" i="3"/>
  <c r="C12" i="3"/>
  <c r="U12" i="3" s="1"/>
  <c r="C90" i="3"/>
  <c r="U90" i="3" s="1"/>
  <c r="C95" i="3"/>
  <c r="T95" i="3" s="1"/>
  <c r="U95" i="3" s="1"/>
  <c r="C136" i="3"/>
  <c r="U136" i="3" s="1"/>
  <c r="C138" i="3"/>
  <c r="U138" i="3" s="1"/>
  <c r="C116" i="3"/>
  <c r="C103" i="3"/>
  <c r="U103" i="3" s="1"/>
  <c r="C98" i="3"/>
  <c r="U98" i="3" s="1"/>
  <c r="C117" i="3"/>
  <c r="C122" i="3"/>
  <c r="U122" i="3" s="1"/>
  <c r="T108" i="2"/>
  <c r="U108" i="2" s="1"/>
  <c r="E108" i="2"/>
  <c r="D108" i="2"/>
  <c r="T107" i="2"/>
  <c r="U107" i="2" s="1"/>
  <c r="F107" i="2"/>
  <c r="D107" i="2" s="1"/>
  <c r="E107" i="2"/>
  <c r="U106" i="2"/>
  <c r="T106" i="2"/>
  <c r="E106" i="2"/>
  <c r="D106" i="2"/>
  <c r="C106" i="2" s="1"/>
  <c r="T105" i="2"/>
  <c r="U105" i="2" s="1"/>
  <c r="E105" i="2"/>
  <c r="D105" i="2"/>
  <c r="T104" i="2"/>
  <c r="U104" i="2" s="1"/>
  <c r="E104" i="2"/>
  <c r="D104" i="2"/>
  <c r="T103" i="2"/>
  <c r="U103" i="2" s="1"/>
  <c r="E103" i="2"/>
  <c r="D103" i="2"/>
  <c r="C103" i="2" s="1"/>
  <c r="T102" i="2"/>
  <c r="U102" i="2" s="1"/>
  <c r="E102" i="2"/>
  <c r="D102" i="2"/>
  <c r="C102" i="2" s="1"/>
  <c r="S102" i="2" s="1"/>
  <c r="T101" i="2"/>
  <c r="U101" i="2" s="1"/>
  <c r="E101" i="2"/>
  <c r="D101" i="2"/>
  <c r="C101" i="2" s="1"/>
  <c r="T100" i="2"/>
  <c r="U100" i="2" s="1"/>
  <c r="E100" i="2"/>
  <c r="D100" i="2"/>
  <c r="T99" i="2"/>
  <c r="U99" i="2" s="1"/>
  <c r="E99" i="2"/>
  <c r="D99" i="2"/>
  <c r="C99" i="2" s="1"/>
  <c r="S99" i="2" s="1"/>
  <c r="T98" i="2"/>
  <c r="U98" i="2" s="1"/>
  <c r="E98" i="2"/>
  <c r="D98" i="2"/>
  <c r="T97" i="2"/>
  <c r="U97" i="2" s="1"/>
  <c r="E97" i="2"/>
  <c r="D97" i="2"/>
  <c r="T96" i="2"/>
  <c r="U96" i="2" s="1"/>
  <c r="E96" i="2"/>
  <c r="D96" i="2"/>
  <c r="T95" i="2"/>
  <c r="U95" i="2" s="1"/>
  <c r="E95" i="2"/>
  <c r="D95" i="2"/>
  <c r="T94" i="2"/>
  <c r="U94" i="2" s="1"/>
  <c r="E94" i="2"/>
  <c r="D94" i="2"/>
  <c r="T93" i="2"/>
  <c r="U93" i="2" s="1"/>
  <c r="E93" i="2"/>
  <c r="D93" i="2"/>
  <c r="T92" i="2"/>
  <c r="U92" i="2" s="1"/>
  <c r="E92" i="2"/>
  <c r="D92" i="2"/>
  <c r="T91" i="2"/>
  <c r="U91" i="2" s="1"/>
  <c r="E91" i="2"/>
  <c r="D91" i="2"/>
  <c r="T90" i="2"/>
  <c r="U90" i="2" s="1"/>
  <c r="E90" i="2"/>
  <c r="D90" i="2"/>
  <c r="T89" i="2"/>
  <c r="U89" i="2" s="1"/>
  <c r="E89" i="2"/>
  <c r="D89" i="2"/>
  <c r="T88" i="2"/>
  <c r="U88" i="2" s="1"/>
  <c r="E88" i="2"/>
  <c r="D88" i="2"/>
  <c r="T87" i="2"/>
  <c r="U87" i="2" s="1"/>
  <c r="E87" i="2"/>
  <c r="D87" i="2"/>
  <c r="C87" i="2" s="1"/>
  <c r="S87" i="2" s="1"/>
  <c r="T86" i="2"/>
  <c r="U86" i="2" s="1"/>
  <c r="E86" i="2"/>
  <c r="D86" i="2"/>
  <c r="A86" i="2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T85" i="2"/>
  <c r="U85" i="2" s="1"/>
  <c r="E85" i="2"/>
  <c r="D85" i="2"/>
  <c r="Q84" i="2"/>
  <c r="P84" i="2"/>
  <c r="O84" i="2"/>
  <c r="N84" i="2"/>
  <c r="M84" i="2"/>
  <c r="L84" i="2"/>
  <c r="K84" i="2"/>
  <c r="J84" i="2"/>
  <c r="I84" i="2"/>
  <c r="H84" i="2"/>
  <c r="G84" i="2"/>
  <c r="T84" i="2" s="1"/>
  <c r="U84" i="2" s="1"/>
  <c r="T83" i="2"/>
  <c r="U83" i="2" s="1"/>
  <c r="E83" i="2"/>
  <c r="D83" i="2"/>
  <c r="T82" i="2"/>
  <c r="U82" i="2" s="1"/>
  <c r="E82" i="2"/>
  <c r="C82" i="2" s="1"/>
  <c r="D82" i="2"/>
  <c r="T81" i="2"/>
  <c r="U81" i="2" s="1"/>
  <c r="E81" i="2"/>
  <c r="D81" i="2"/>
  <c r="T80" i="2"/>
  <c r="U80" i="2" s="1"/>
  <c r="E80" i="2"/>
  <c r="D80" i="2"/>
  <c r="C80" i="2" s="1"/>
  <c r="T79" i="2"/>
  <c r="U79" i="2" s="1"/>
  <c r="F79" i="2"/>
  <c r="E79" i="2"/>
  <c r="D79" i="2"/>
  <c r="T78" i="2"/>
  <c r="U78" i="2" s="1"/>
  <c r="E78" i="2"/>
  <c r="D78" i="2"/>
  <c r="T77" i="2"/>
  <c r="U77" i="2" s="1"/>
  <c r="E77" i="2"/>
  <c r="D77" i="2"/>
  <c r="T76" i="2"/>
  <c r="U76" i="2" s="1"/>
  <c r="E76" i="2"/>
  <c r="D76" i="2"/>
  <c r="T75" i="2"/>
  <c r="U75" i="2" s="1"/>
  <c r="E75" i="2"/>
  <c r="D75" i="2"/>
  <c r="C75" i="2" s="1"/>
  <c r="S75" i="2" s="1"/>
  <c r="T74" i="2"/>
  <c r="U74" i="2" s="1"/>
  <c r="E74" i="2"/>
  <c r="D74" i="2"/>
  <c r="C74" i="2"/>
  <c r="T73" i="2"/>
  <c r="U73" i="2" s="1"/>
  <c r="E73" i="2"/>
  <c r="D73" i="2"/>
  <c r="C73" i="2"/>
  <c r="S73" i="2" s="1"/>
  <c r="T72" i="2"/>
  <c r="U72" i="2" s="1"/>
  <c r="E72" i="2"/>
  <c r="D72" i="2"/>
  <c r="T71" i="2"/>
  <c r="U71" i="2" s="1"/>
  <c r="E71" i="2"/>
  <c r="D71" i="2"/>
  <c r="C71" i="2" s="1"/>
  <c r="T70" i="2"/>
  <c r="U70" i="2" s="1"/>
  <c r="E70" i="2"/>
  <c r="D70" i="2"/>
  <c r="T69" i="2"/>
  <c r="U69" i="2" s="1"/>
  <c r="E69" i="2"/>
  <c r="D69" i="2"/>
  <c r="C69" i="2" s="1"/>
  <c r="T68" i="2"/>
  <c r="U68" i="2" s="1"/>
  <c r="E68" i="2"/>
  <c r="D68" i="2"/>
  <c r="C68" i="2" s="1"/>
  <c r="S68" i="2" s="1"/>
  <c r="T67" i="2"/>
  <c r="U67" i="2" s="1"/>
  <c r="E67" i="2"/>
  <c r="D67" i="2"/>
  <c r="C67" i="2" s="1"/>
  <c r="S67" i="2" s="1"/>
  <c r="T66" i="2"/>
  <c r="U66" i="2" s="1"/>
  <c r="E66" i="2"/>
  <c r="D66" i="2"/>
  <c r="C66" i="2" s="1"/>
  <c r="T65" i="2"/>
  <c r="U65" i="2" s="1"/>
  <c r="E65" i="2"/>
  <c r="D65" i="2"/>
  <c r="C65" i="2" s="1"/>
  <c r="S65" i="2" s="1"/>
  <c r="T64" i="2"/>
  <c r="U64" i="2" s="1"/>
  <c r="E64" i="2"/>
  <c r="D64" i="2"/>
  <c r="C64" i="2" s="1"/>
  <c r="S64" i="2" s="1"/>
  <c r="T63" i="2"/>
  <c r="U63" i="2" s="1"/>
  <c r="E63" i="2"/>
  <c r="D63" i="2"/>
  <c r="C63" i="2" s="1"/>
  <c r="S63" i="2" s="1"/>
  <c r="T62" i="2"/>
  <c r="U62" i="2" s="1"/>
  <c r="E62" i="2"/>
  <c r="D62" i="2"/>
  <c r="C62" i="2" s="1"/>
  <c r="R62" i="2" s="1"/>
  <c r="S62" i="2" s="1"/>
  <c r="T61" i="2"/>
  <c r="U61" i="2" s="1"/>
  <c r="E61" i="2"/>
  <c r="D61" i="2"/>
  <c r="C61" i="2" s="1"/>
  <c r="S61" i="2" s="1"/>
  <c r="T60" i="2"/>
  <c r="U60" i="2" s="1"/>
  <c r="E60" i="2"/>
  <c r="C60" i="2" s="1"/>
  <c r="S60" i="2" s="1"/>
  <c r="D60" i="2"/>
  <c r="T59" i="2"/>
  <c r="U59" i="2" s="1"/>
  <c r="P59" i="2"/>
  <c r="E59" i="2"/>
  <c r="D59" i="2"/>
  <c r="C59" i="2" s="1"/>
  <c r="R59" i="2" s="1"/>
  <c r="T58" i="2"/>
  <c r="U58" i="2" s="1"/>
  <c r="E58" i="2"/>
  <c r="C58" i="2" s="1"/>
  <c r="R58" i="2" s="1"/>
  <c r="D58" i="2"/>
  <c r="T57" i="2"/>
  <c r="U57" i="2" s="1"/>
  <c r="E57" i="2"/>
  <c r="C57" i="2" s="1"/>
  <c r="R57" i="2" s="1"/>
  <c r="S57" i="2" s="1"/>
  <c r="D57" i="2"/>
  <c r="T56" i="2"/>
  <c r="U56" i="2" s="1"/>
  <c r="E56" i="2"/>
  <c r="D56" i="2"/>
  <c r="A56" i="2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T55" i="2"/>
  <c r="U55" i="2" s="1"/>
  <c r="E55" i="2"/>
  <c r="D55" i="2"/>
  <c r="Q54" i="2"/>
  <c r="P54" i="2"/>
  <c r="O54" i="2"/>
  <c r="N54" i="2"/>
  <c r="M54" i="2"/>
  <c r="L54" i="2"/>
  <c r="K54" i="2"/>
  <c r="J54" i="2"/>
  <c r="I54" i="2"/>
  <c r="H54" i="2"/>
  <c r="G54" i="2"/>
  <c r="F54" i="2"/>
  <c r="T53" i="2"/>
  <c r="U53" i="2" s="1"/>
  <c r="E53" i="2"/>
  <c r="D53" i="2"/>
  <c r="T52" i="2"/>
  <c r="U52" i="2" s="1"/>
  <c r="T51" i="2"/>
  <c r="U51" i="2" s="1"/>
  <c r="E51" i="2"/>
  <c r="D51" i="2"/>
  <c r="C51" i="2" s="1"/>
  <c r="S51" i="2" s="1"/>
  <c r="T50" i="2"/>
  <c r="U50" i="2" s="1"/>
  <c r="E50" i="2"/>
  <c r="C50" i="2" s="1"/>
  <c r="R50" i="2" s="1"/>
  <c r="S50" i="2" s="1"/>
  <c r="D50" i="2"/>
  <c r="T49" i="2"/>
  <c r="U49" i="2" s="1"/>
  <c r="E49" i="2"/>
  <c r="D49" i="2"/>
  <c r="C49" i="2" s="1"/>
  <c r="R49" i="2" s="1"/>
  <c r="A49" i="2"/>
  <c r="A50" i="2" s="1"/>
  <c r="A51" i="2" s="1"/>
  <c r="A52" i="2" s="1"/>
  <c r="A53" i="2" s="1"/>
  <c r="T48" i="2"/>
  <c r="U48" i="2" s="1"/>
  <c r="E48" i="2"/>
  <c r="D48" i="2"/>
  <c r="D47" i="2" s="1"/>
  <c r="Q47" i="2"/>
  <c r="P47" i="2"/>
  <c r="P35" i="2" s="1"/>
  <c r="P8" i="2" s="1"/>
  <c r="O47" i="2"/>
  <c r="N47" i="2"/>
  <c r="M47" i="2"/>
  <c r="L47" i="2"/>
  <c r="K47" i="2"/>
  <c r="J47" i="2"/>
  <c r="I47" i="2"/>
  <c r="H47" i="2"/>
  <c r="T47" i="2" s="1"/>
  <c r="U47" i="2" s="1"/>
  <c r="G47" i="2"/>
  <c r="F47" i="2"/>
  <c r="T46" i="2"/>
  <c r="U46" i="2" s="1"/>
  <c r="E46" i="2"/>
  <c r="C46" i="2" s="1"/>
  <c r="S46" i="2" s="1"/>
  <c r="D46" i="2"/>
  <c r="T45" i="2"/>
  <c r="U45" i="2" s="1"/>
  <c r="E45" i="2"/>
  <c r="D45" i="2"/>
  <c r="C45" i="2" s="1"/>
  <c r="S45" i="2" s="1"/>
  <c r="T44" i="2"/>
  <c r="U44" i="2" s="1"/>
  <c r="E44" i="2"/>
  <c r="D44" i="2"/>
  <c r="T43" i="2"/>
  <c r="U43" i="2" s="1"/>
  <c r="D43" i="2"/>
  <c r="E43" i="2"/>
  <c r="T42" i="2"/>
  <c r="U42" i="2" s="1"/>
  <c r="E42" i="2"/>
  <c r="D42" i="2"/>
  <c r="T41" i="2"/>
  <c r="U41" i="2" s="1"/>
  <c r="E41" i="2"/>
  <c r="D41" i="2"/>
  <c r="C41" i="2" s="1"/>
  <c r="U40" i="2"/>
  <c r="T40" i="2"/>
  <c r="E40" i="2"/>
  <c r="D40" i="2"/>
  <c r="C40" i="2" s="1"/>
  <c r="R40" i="2" s="1"/>
  <c r="S40" i="2" s="1"/>
  <c r="U39" i="2"/>
  <c r="T39" i="2"/>
  <c r="E39" i="2"/>
  <c r="D39" i="2"/>
  <c r="C39" i="2" s="1"/>
  <c r="R39" i="2" s="1"/>
  <c r="S39" i="2" s="1"/>
  <c r="T38" i="2"/>
  <c r="U38" i="2" s="1"/>
  <c r="E38" i="2"/>
  <c r="D38" i="2"/>
  <c r="C38" i="2"/>
  <c r="R38" i="2" s="1"/>
  <c r="S38" i="2" s="1"/>
  <c r="A38" i="2"/>
  <c r="A39" i="2" s="1"/>
  <c r="A40" i="2" s="1"/>
  <c r="A41" i="2" s="1"/>
  <c r="A42" i="2" s="1"/>
  <c r="A43" i="2" s="1"/>
  <c r="A44" i="2" s="1"/>
  <c r="A45" i="2" s="1"/>
  <c r="A46" i="2" s="1"/>
  <c r="T37" i="2"/>
  <c r="U37" i="2" s="1"/>
  <c r="E37" i="2"/>
  <c r="D37" i="2"/>
  <c r="C37" i="2" s="1"/>
  <c r="R37" i="2" s="1"/>
  <c r="Q36" i="2"/>
  <c r="P36" i="2"/>
  <c r="O36" i="2"/>
  <c r="O35" i="2" s="1"/>
  <c r="N36" i="2"/>
  <c r="M36" i="2"/>
  <c r="K36" i="2"/>
  <c r="K35" i="2" s="1"/>
  <c r="J36" i="2"/>
  <c r="I36" i="2"/>
  <c r="H36" i="2"/>
  <c r="G36" i="2"/>
  <c r="T36" i="2" s="1"/>
  <c r="U36" i="2" s="1"/>
  <c r="F36" i="2"/>
  <c r="G35" i="2"/>
  <c r="T34" i="2"/>
  <c r="U34" i="2" s="1"/>
  <c r="E34" i="2"/>
  <c r="D34" i="2"/>
  <c r="C34" i="2" s="1"/>
  <c r="T33" i="2"/>
  <c r="U33" i="2" s="1"/>
  <c r="E33" i="2"/>
  <c r="D33" i="2"/>
  <c r="C33" i="2" s="1"/>
  <c r="T32" i="2"/>
  <c r="U32" i="2" s="1"/>
  <c r="E32" i="2"/>
  <c r="D32" i="2"/>
  <c r="T31" i="2"/>
  <c r="U31" i="2" s="1"/>
  <c r="F31" i="2"/>
  <c r="E31" i="2"/>
  <c r="T30" i="2"/>
  <c r="U30" i="2" s="1"/>
  <c r="E30" i="2"/>
  <c r="D30" i="2"/>
  <c r="T29" i="2"/>
  <c r="U29" i="2" s="1"/>
  <c r="E29" i="2"/>
  <c r="D29" i="2"/>
  <c r="C29" i="2" s="1"/>
  <c r="S29" i="2" s="1"/>
  <c r="T28" i="2"/>
  <c r="U28" i="2" s="1"/>
  <c r="E28" i="2"/>
  <c r="D28" i="2"/>
  <c r="T27" i="2"/>
  <c r="U27" i="2" s="1"/>
  <c r="E27" i="2"/>
  <c r="D27" i="2"/>
  <c r="C27" i="2" s="1"/>
  <c r="R27" i="2" s="1"/>
  <c r="S27" i="2" s="1"/>
  <c r="T26" i="2"/>
  <c r="U26" i="2" s="1"/>
  <c r="E26" i="2"/>
  <c r="D26" i="2"/>
  <c r="T25" i="2"/>
  <c r="U25" i="2" s="1"/>
  <c r="E25" i="2"/>
  <c r="D25" i="2"/>
  <c r="C25" i="2" s="1"/>
  <c r="R25" i="2" s="1"/>
  <c r="S25" i="2" s="1"/>
  <c r="T24" i="2"/>
  <c r="U24" i="2" s="1"/>
  <c r="E24" i="2"/>
  <c r="D24" i="2"/>
  <c r="T23" i="2"/>
  <c r="U23" i="2" s="1"/>
  <c r="E23" i="2"/>
  <c r="D23" i="2"/>
  <c r="C23" i="2" s="1"/>
  <c r="R23" i="2" s="1"/>
  <c r="S23" i="2" s="1"/>
  <c r="T22" i="2"/>
  <c r="U22" i="2" s="1"/>
  <c r="E22" i="2"/>
  <c r="D22" i="2"/>
  <c r="T21" i="2"/>
  <c r="U21" i="2" s="1"/>
  <c r="E21" i="2"/>
  <c r="D21" i="2"/>
  <c r="C21" i="2" s="1"/>
  <c r="R21" i="2" s="1"/>
  <c r="S21" i="2" s="1"/>
  <c r="T20" i="2"/>
  <c r="U20" i="2" s="1"/>
  <c r="O20" i="2"/>
  <c r="O9" i="2" s="1"/>
  <c r="O8" i="2" s="1"/>
  <c r="E20" i="2"/>
  <c r="D20" i="2"/>
  <c r="C20" i="2" s="1"/>
  <c r="T19" i="2"/>
  <c r="U19" i="2" s="1"/>
  <c r="E19" i="2"/>
  <c r="D19" i="2"/>
  <c r="T18" i="2"/>
  <c r="U18" i="2" s="1"/>
  <c r="E18" i="2"/>
  <c r="D18" i="2"/>
  <c r="C18" i="2" s="1"/>
  <c r="T17" i="2"/>
  <c r="U17" i="2" s="1"/>
  <c r="E17" i="2"/>
  <c r="D17" i="2"/>
  <c r="C17" i="2" s="1"/>
  <c r="R17" i="2" s="1"/>
  <c r="S17" i="2" s="1"/>
  <c r="T16" i="2"/>
  <c r="U16" i="2" s="1"/>
  <c r="E16" i="2"/>
  <c r="D16" i="2"/>
  <c r="C16" i="2" s="1"/>
  <c r="T15" i="2"/>
  <c r="U15" i="2" s="1"/>
  <c r="E15" i="2"/>
  <c r="C15" i="2" s="1"/>
  <c r="R15" i="2" s="1"/>
  <c r="S15" i="2" s="1"/>
  <c r="D15" i="2"/>
  <c r="T14" i="2"/>
  <c r="U14" i="2" s="1"/>
  <c r="E14" i="2"/>
  <c r="C14" i="2" s="1"/>
  <c r="D14" i="2"/>
  <c r="T13" i="2"/>
  <c r="U13" i="2" s="1"/>
  <c r="E13" i="2"/>
  <c r="D13" i="2"/>
  <c r="T12" i="2"/>
  <c r="U12" i="2" s="1"/>
  <c r="E12" i="2"/>
  <c r="D12" i="2"/>
  <c r="C12" i="2" s="1"/>
  <c r="R12" i="2" s="1"/>
  <c r="S12" i="2" s="1"/>
  <c r="T11" i="2"/>
  <c r="U11" i="2" s="1"/>
  <c r="E11" i="2"/>
  <c r="D11" i="2"/>
  <c r="C11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T10" i="2"/>
  <c r="U10" i="2" s="1"/>
  <c r="E10" i="2"/>
  <c r="D10" i="2"/>
  <c r="C10" i="2"/>
  <c r="R10" i="2" s="1"/>
  <c r="S10" i="2" s="1"/>
  <c r="Q9" i="2"/>
  <c r="P9" i="2"/>
  <c r="N9" i="2"/>
  <c r="M9" i="2"/>
  <c r="L9" i="2"/>
  <c r="K9" i="2"/>
  <c r="J9" i="2"/>
  <c r="I9" i="2"/>
  <c r="H9" i="2"/>
  <c r="G9" i="2"/>
  <c r="G8" i="2" s="1"/>
  <c r="D84" i="2" l="1"/>
  <c r="C43" i="2"/>
  <c r="R43" i="2" s="1"/>
  <c r="E84" i="2"/>
  <c r="H35" i="2"/>
  <c r="M35" i="2"/>
  <c r="Q35" i="2"/>
  <c r="C79" i="2"/>
  <c r="S79" i="2" s="1"/>
  <c r="C13" i="2"/>
  <c r="R13" i="2" s="1"/>
  <c r="S13" i="2" s="1"/>
  <c r="C19" i="2"/>
  <c r="C22" i="2"/>
  <c r="R22" i="2" s="1"/>
  <c r="S22" i="2" s="1"/>
  <c r="C24" i="2"/>
  <c r="R24" i="2" s="1"/>
  <c r="S24" i="2" s="1"/>
  <c r="C26" i="2"/>
  <c r="R26" i="2" s="1"/>
  <c r="S26" i="2" s="1"/>
  <c r="C28" i="2"/>
  <c r="R28" i="2" s="1"/>
  <c r="S28" i="2" s="1"/>
  <c r="C30" i="2"/>
  <c r="S30" i="2" s="1"/>
  <c r="C32" i="2"/>
  <c r="I35" i="2"/>
  <c r="I8" i="2" s="1"/>
  <c r="N35" i="2"/>
  <c r="C53" i="2"/>
  <c r="R53" i="2" s="1"/>
  <c r="S53" i="2" s="1"/>
  <c r="T54" i="2"/>
  <c r="U54" i="2" s="1"/>
  <c r="C70" i="2"/>
  <c r="S70" i="2" s="1"/>
  <c r="C78" i="2"/>
  <c r="S78" i="2" s="1"/>
  <c r="C83" i="2"/>
  <c r="C88" i="2"/>
  <c r="R88" i="2" s="1"/>
  <c r="C92" i="2"/>
  <c r="S92" i="2" s="1"/>
  <c r="C96" i="2"/>
  <c r="S96" i="2" s="1"/>
  <c r="C100" i="2"/>
  <c r="R16" i="2"/>
  <c r="S16" i="2" s="1"/>
  <c r="S19" i="2"/>
  <c r="R19" i="2"/>
  <c r="R83" i="2"/>
  <c r="S83" i="2" s="1"/>
  <c r="R100" i="2"/>
  <c r="S100" i="2" s="1"/>
  <c r="R82" i="2"/>
  <c r="S82" i="2" s="1"/>
  <c r="R11" i="2"/>
  <c r="S11" i="2" s="1"/>
  <c r="R80" i="2"/>
  <c r="S80" i="2" s="1"/>
  <c r="R18" i="2"/>
  <c r="S18" i="2" s="1"/>
  <c r="R20" i="2"/>
  <c r="S20" i="2" s="1"/>
  <c r="S101" i="2"/>
  <c r="R101" i="2"/>
  <c r="M8" i="2"/>
  <c r="Q8" i="2"/>
  <c r="E36" i="2"/>
  <c r="E35" i="2" s="1"/>
  <c r="E47" i="2"/>
  <c r="C55" i="2"/>
  <c r="R55" i="2" s="1"/>
  <c r="C76" i="2"/>
  <c r="S76" i="2" s="1"/>
  <c r="C77" i="2"/>
  <c r="S77" i="2" s="1"/>
  <c r="C81" i="2"/>
  <c r="R81" i="2" s="1"/>
  <c r="C85" i="2"/>
  <c r="R85" i="2" s="1"/>
  <c r="C86" i="2"/>
  <c r="R86" i="2" s="1"/>
  <c r="S86" i="2" s="1"/>
  <c r="C89" i="2"/>
  <c r="S89" i="2" s="1"/>
  <c r="C93" i="2"/>
  <c r="C97" i="2"/>
  <c r="C108" i="2"/>
  <c r="S108" i="2" s="1"/>
  <c r="F8" i="4"/>
  <c r="R14" i="2"/>
  <c r="S14" i="2" s="1"/>
  <c r="R66" i="2"/>
  <c r="S66" i="2" s="1"/>
  <c r="S71" i="2"/>
  <c r="R71" i="2"/>
  <c r="K8" i="2"/>
  <c r="E9" i="2"/>
  <c r="F35" i="2"/>
  <c r="J35" i="2"/>
  <c r="C72" i="2"/>
  <c r="C91" i="2"/>
  <c r="S91" i="2" s="1"/>
  <c r="C95" i="2"/>
  <c r="S95" i="2" s="1"/>
  <c r="C105" i="2"/>
  <c r="C107" i="2"/>
  <c r="S107" i="2" s="1"/>
  <c r="G8" i="4"/>
  <c r="N8" i="2"/>
  <c r="C44" i="2"/>
  <c r="C48" i="2"/>
  <c r="C90" i="2"/>
  <c r="S90" i="2" s="1"/>
  <c r="C94" i="2"/>
  <c r="S94" i="2" s="1"/>
  <c r="C98" i="2"/>
  <c r="C104" i="2"/>
  <c r="S104" i="2" s="1"/>
  <c r="R57" i="4"/>
  <c r="T10" i="3"/>
  <c r="C9" i="3"/>
  <c r="A42" i="3"/>
  <c r="A43" i="3" s="1"/>
  <c r="A44" i="3" s="1"/>
  <c r="A46" i="3" s="1"/>
  <c r="A47" i="3" s="1"/>
  <c r="A49" i="3" s="1"/>
  <c r="A50" i="3" s="1"/>
  <c r="A51" i="3" s="1"/>
  <c r="A52" i="3" s="1"/>
  <c r="A54" i="3" s="1"/>
  <c r="A55" i="3" s="1"/>
  <c r="A57" i="3" s="1"/>
  <c r="A58" i="3" s="1"/>
  <c r="A59" i="3" s="1"/>
  <c r="A61" i="3" s="1"/>
  <c r="A63" i="3" s="1"/>
  <c r="A65" i="3" s="1"/>
  <c r="A67" i="3" s="1"/>
  <c r="T146" i="3"/>
  <c r="U146" i="3" s="1"/>
  <c r="T61" i="3"/>
  <c r="U61" i="3" s="1"/>
  <c r="T54" i="3"/>
  <c r="U54" i="3" s="1"/>
  <c r="T116" i="3"/>
  <c r="U116" i="3" s="1"/>
  <c r="T110" i="3"/>
  <c r="U110" i="3" s="1"/>
  <c r="T100" i="3"/>
  <c r="U100" i="3" s="1"/>
  <c r="T93" i="3"/>
  <c r="U93" i="3" s="1"/>
  <c r="S57" i="4"/>
  <c r="D38" i="4"/>
  <c r="D8" i="4" s="1"/>
  <c r="C57" i="4"/>
  <c r="T79" i="3"/>
  <c r="U79" i="3" s="1"/>
  <c r="T65" i="3"/>
  <c r="U65" i="3" s="1"/>
  <c r="U74" i="3"/>
  <c r="T76" i="3"/>
  <c r="U76" i="3" s="1"/>
  <c r="T63" i="3"/>
  <c r="U63" i="3" s="1"/>
  <c r="T114" i="3"/>
  <c r="U114" i="3" s="1"/>
  <c r="T46" i="3"/>
  <c r="U46" i="3" s="1"/>
  <c r="T39" i="3"/>
  <c r="U39" i="3" s="1"/>
  <c r="T13" i="3"/>
  <c r="U13" i="3" s="1"/>
  <c r="T42" i="3"/>
  <c r="U42" i="3" s="1"/>
  <c r="T36" i="3"/>
  <c r="U36" i="3" s="1"/>
  <c r="T25" i="3"/>
  <c r="U25" i="3" s="1"/>
  <c r="T19" i="3"/>
  <c r="U19" i="3" s="1"/>
  <c r="T22" i="3"/>
  <c r="U22" i="3" s="1"/>
  <c r="C50" i="4"/>
  <c r="S9" i="4"/>
  <c r="R9" i="4"/>
  <c r="C39" i="4"/>
  <c r="R40" i="4"/>
  <c r="S87" i="4"/>
  <c r="S86" i="4" s="1"/>
  <c r="R86" i="4"/>
  <c r="C86" i="4"/>
  <c r="C9" i="4"/>
  <c r="R50" i="4"/>
  <c r="S52" i="4"/>
  <c r="S50" i="4" s="1"/>
  <c r="E8" i="4"/>
  <c r="S81" i="2"/>
  <c r="S59" i="2"/>
  <c r="D54" i="2"/>
  <c r="S43" i="2"/>
  <c r="S106" i="2"/>
  <c r="S103" i="2"/>
  <c r="S74" i="2"/>
  <c r="S69" i="2"/>
  <c r="S58" i="2"/>
  <c r="C56" i="2"/>
  <c r="S56" i="2" s="1"/>
  <c r="C42" i="2"/>
  <c r="D36" i="2"/>
  <c r="D35" i="2" s="1"/>
  <c r="J8" i="2"/>
  <c r="S37" i="2"/>
  <c r="S88" i="2"/>
  <c r="F9" i="2"/>
  <c r="D31" i="2"/>
  <c r="S85" i="2"/>
  <c r="S48" i="2"/>
  <c r="C47" i="2"/>
  <c r="S49" i="2"/>
  <c r="R47" i="2"/>
  <c r="E54" i="2"/>
  <c r="F84" i="2"/>
  <c r="L36" i="2"/>
  <c r="L35" i="2" s="1"/>
  <c r="L8" i="2" s="1"/>
  <c r="R43" i="1"/>
  <c r="L43" i="1"/>
  <c r="T98" i="1"/>
  <c r="U98" i="1" s="1"/>
  <c r="E98" i="1"/>
  <c r="D98" i="1"/>
  <c r="T108" i="1"/>
  <c r="U108" i="1" s="1"/>
  <c r="E108" i="1"/>
  <c r="D108" i="1"/>
  <c r="T107" i="1"/>
  <c r="U107" i="1" s="1"/>
  <c r="F107" i="1"/>
  <c r="D107" i="1" s="1"/>
  <c r="E107" i="1"/>
  <c r="T106" i="1"/>
  <c r="U106" i="1" s="1"/>
  <c r="E106" i="1"/>
  <c r="D106" i="1"/>
  <c r="T35" i="2" l="1"/>
  <c r="U35" i="2" s="1"/>
  <c r="H8" i="2"/>
  <c r="C54" i="2"/>
  <c r="E8" i="2"/>
  <c r="R42" i="2"/>
  <c r="R36" i="2" s="1"/>
  <c r="S93" i="2"/>
  <c r="R93" i="2"/>
  <c r="R72" i="2"/>
  <c r="R54" i="2" s="1"/>
  <c r="C84" i="2"/>
  <c r="S105" i="2"/>
  <c r="R105" i="2"/>
  <c r="S97" i="2"/>
  <c r="S84" i="2" s="1"/>
  <c r="R97" i="2"/>
  <c r="T9" i="3"/>
  <c r="U10" i="3"/>
  <c r="U9" i="3" s="1"/>
  <c r="C8" i="4"/>
  <c r="C38" i="4"/>
  <c r="A68" i="3"/>
  <c r="S40" i="4"/>
  <c r="S39" i="4" s="1"/>
  <c r="S38" i="4" s="1"/>
  <c r="S8" i="4" s="1"/>
  <c r="R39" i="4"/>
  <c r="R38" i="4" s="1"/>
  <c r="R8" i="4" s="1"/>
  <c r="S47" i="2"/>
  <c r="R35" i="2"/>
  <c r="S55" i="2"/>
  <c r="C31" i="2"/>
  <c r="R31" i="2" s="1"/>
  <c r="D9" i="2"/>
  <c r="D8" i="2" s="1"/>
  <c r="F8" i="2"/>
  <c r="C36" i="2"/>
  <c r="C35" i="2" s="1"/>
  <c r="C107" i="1"/>
  <c r="R107" i="1" s="1"/>
  <c r="S107" i="1" s="1"/>
  <c r="C108" i="1"/>
  <c r="R108" i="1" s="1"/>
  <c r="S108" i="1" s="1"/>
  <c r="C98" i="1"/>
  <c r="C106" i="1"/>
  <c r="S106" i="1" s="1"/>
  <c r="T97" i="1"/>
  <c r="U97" i="1" s="1"/>
  <c r="E97" i="1"/>
  <c r="D97" i="1"/>
  <c r="T105" i="1"/>
  <c r="U105" i="1" s="1"/>
  <c r="E105" i="1"/>
  <c r="D105" i="1"/>
  <c r="T103" i="1"/>
  <c r="U103" i="1" s="1"/>
  <c r="E103" i="1"/>
  <c r="D103" i="1"/>
  <c r="T104" i="1"/>
  <c r="U104" i="1" s="1"/>
  <c r="E104" i="1"/>
  <c r="D104" i="1"/>
  <c r="T102" i="1"/>
  <c r="U102" i="1" s="1"/>
  <c r="E102" i="1"/>
  <c r="D102" i="1"/>
  <c r="T101" i="1"/>
  <c r="U101" i="1" s="1"/>
  <c r="E101" i="1"/>
  <c r="D101" i="1"/>
  <c r="T100" i="1"/>
  <c r="U100" i="1" s="1"/>
  <c r="E100" i="1"/>
  <c r="D100" i="1"/>
  <c r="T99" i="1"/>
  <c r="U99" i="1" s="1"/>
  <c r="E99" i="1"/>
  <c r="D99" i="1"/>
  <c r="T92" i="1"/>
  <c r="U92" i="1" s="1"/>
  <c r="E92" i="1"/>
  <c r="D92" i="1"/>
  <c r="T91" i="1"/>
  <c r="U91" i="1" s="1"/>
  <c r="E91" i="1"/>
  <c r="D91" i="1"/>
  <c r="S72" i="2" l="1"/>
  <c r="S54" i="2" s="1"/>
  <c r="S42" i="2"/>
  <c r="S36" i="2" s="1"/>
  <c r="S35" i="2" s="1"/>
  <c r="R84" i="2"/>
  <c r="A70" i="3"/>
  <c r="C9" i="2"/>
  <c r="C8" i="2" s="1"/>
  <c r="C105" i="1"/>
  <c r="R105" i="1" s="1"/>
  <c r="S105" i="1" s="1"/>
  <c r="C100" i="1"/>
  <c r="R100" i="1" s="1"/>
  <c r="S100" i="1" s="1"/>
  <c r="C99" i="1"/>
  <c r="S99" i="1" s="1"/>
  <c r="C97" i="1"/>
  <c r="R97" i="1" s="1"/>
  <c r="S97" i="1" s="1"/>
  <c r="C103" i="1"/>
  <c r="S103" i="1" s="1"/>
  <c r="C101" i="1"/>
  <c r="R101" i="1" s="1"/>
  <c r="S101" i="1" s="1"/>
  <c r="C102" i="1"/>
  <c r="R102" i="1" s="1"/>
  <c r="S102" i="1" s="1"/>
  <c r="C104" i="1"/>
  <c r="R104" i="1" s="1"/>
  <c r="S104" i="1" s="1"/>
  <c r="C92" i="1"/>
  <c r="R92" i="1" s="1"/>
  <c r="S92" i="1" s="1"/>
  <c r="C91" i="1"/>
  <c r="R91" i="1" s="1"/>
  <c r="S91" i="1" s="1"/>
  <c r="T90" i="1"/>
  <c r="U90" i="1" s="1"/>
  <c r="E90" i="1"/>
  <c r="D90" i="1"/>
  <c r="T89" i="1"/>
  <c r="U89" i="1" s="1"/>
  <c r="E89" i="1"/>
  <c r="D89" i="1"/>
  <c r="T88" i="1"/>
  <c r="U88" i="1" s="1"/>
  <c r="E88" i="1"/>
  <c r="D88" i="1"/>
  <c r="A72" i="3" l="1"/>
  <c r="A74" i="3" s="1"/>
  <c r="S31" i="2"/>
  <c r="S9" i="2" s="1"/>
  <c r="S8" i="2" s="1"/>
  <c r="R9" i="2"/>
  <c r="R8" i="2" s="1"/>
  <c r="C88" i="1"/>
  <c r="R88" i="1" s="1"/>
  <c r="S88" i="1" s="1"/>
  <c r="C90" i="1"/>
  <c r="R90" i="1" s="1"/>
  <c r="S90" i="1" s="1"/>
  <c r="C89" i="1"/>
  <c r="R89" i="1" s="1"/>
  <c r="S89" i="1" s="1"/>
  <c r="T80" i="1"/>
  <c r="U80" i="1" s="1"/>
  <c r="E80" i="1"/>
  <c r="D80" i="1"/>
  <c r="T78" i="1"/>
  <c r="U78" i="1" s="1"/>
  <c r="E78" i="1"/>
  <c r="D78" i="1"/>
  <c r="T77" i="1"/>
  <c r="U77" i="1" s="1"/>
  <c r="D77" i="1"/>
  <c r="E77" i="1"/>
  <c r="A76" i="3" l="1"/>
  <c r="C80" i="1"/>
  <c r="R80" i="1" s="1"/>
  <c r="S80" i="1" s="1"/>
  <c r="C78" i="1"/>
  <c r="S78" i="1" s="1"/>
  <c r="C77" i="1"/>
  <c r="S77" i="1" s="1"/>
  <c r="A77" i="3" l="1"/>
  <c r="A78" i="3" s="1"/>
  <c r="T76" i="1"/>
  <c r="U76" i="1" s="1"/>
  <c r="E76" i="1"/>
  <c r="D76" i="1"/>
  <c r="T75" i="1"/>
  <c r="U75" i="1" s="1"/>
  <c r="E75" i="1"/>
  <c r="D75" i="1"/>
  <c r="T81" i="1"/>
  <c r="U81" i="1" s="1"/>
  <c r="E81" i="1"/>
  <c r="D81" i="1"/>
  <c r="T72" i="1"/>
  <c r="U72" i="1" s="1"/>
  <c r="E72" i="1"/>
  <c r="D72" i="1"/>
  <c r="T71" i="1"/>
  <c r="U71" i="1" s="1"/>
  <c r="E71" i="1"/>
  <c r="D71" i="1"/>
  <c r="T70" i="1"/>
  <c r="U70" i="1" s="1"/>
  <c r="E70" i="1"/>
  <c r="D70" i="1"/>
  <c r="T69" i="1"/>
  <c r="U69" i="1" s="1"/>
  <c r="E69" i="1"/>
  <c r="D69" i="1"/>
  <c r="T68" i="1"/>
  <c r="U68" i="1" s="1"/>
  <c r="E68" i="1"/>
  <c r="D68" i="1"/>
  <c r="T67" i="1"/>
  <c r="U67" i="1" s="1"/>
  <c r="E67" i="1"/>
  <c r="D67" i="1"/>
  <c r="T66" i="1"/>
  <c r="U66" i="1" s="1"/>
  <c r="E66" i="1"/>
  <c r="D66" i="1"/>
  <c r="T65" i="1"/>
  <c r="U65" i="1" s="1"/>
  <c r="E65" i="1"/>
  <c r="D65" i="1"/>
  <c r="T64" i="1"/>
  <c r="U64" i="1" s="1"/>
  <c r="E64" i="1"/>
  <c r="D64" i="1"/>
  <c r="T63" i="1"/>
  <c r="U63" i="1" s="1"/>
  <c r="E63" i="1"/>
  <c r="D63" i="1"/>
  <c r="T62" i="1"/>
  <c r="U62" i="1" s="1"/>
  <c r="E62" i="1"/>
  <c r="D62" i="1"/>
  <c r="T61" i="1"/>
  <c r="U61" i="1" s="1"/>
  <c r="E61" i="1"/>
  <c r="D61" i="1"/>
  <c r="T60" i="1"/>
  <c r="U60" i="1" s="1"/>
  <c r="E60" i="1"/>
  <c r="D60" i="1"/>
  <c r="L59" i="1"/>
  <c r="D59" i="1" s="1"/>
  <c r="T59" i="1"/>
  <c r="U59" i="1" s="1"/>
  <c r="P59" i="1"/>
  <c r="E59" i="1"/>
  <c r="T58" i="1"/>
  <c r="U58" i="1" s="1"/>
  <c r="E58" i="1"/>
  <c r="D58" i="1"/>
  <c r="T57" i="1"/>
  <c r="U57" i="1" s="1"/>
  <c r="E57" i="1"/>
  <c r="D57" i="1"/>
  <c r="H54" i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T56" i="1"/>
  <c r="U56" i="1" s="1"/>
  <c r="E56" i="1"/>
  <c r="D56" i="1"/>
  <c r="E55" i="1"/>
  <c r="D55" i="1"/>
  <c r="T51" i="1"/>
  <c r="U51" i="1" s="1"/>
  <c r="E51" i="1"/>
  <c r="D51" i="1"/>
  <c r="T45" i="1"/>
  <c r="U45" i="1" s="1"/>
  <c r="E45" i="1"/>
  <c r="D45" i="1"/>
  <c r="T44" i="1"/>
  <c r="U44" i="1" s="1"/>
  <c r="E44" i="1"/>
  <c r="D44" i="1"/>
  <c r="T43" i="1"/>
  <c r="U43" i="1" s="1"/>
  <c r="E43" i="1"/>
  <c r="D43" i="1"/>
  <c r="T42" i="1"/>
  <c r="U42" i="1" s="1"/>
  <c r="E42" i="1"/>
  <c r="D42" i="1"/>
  <c r="A49" i="1"/>
  <c r="J47" i="1"/>
  <c r="K47" i="1"/>
  <c r="L47" i="1"/>
  <c r="M47" i="1"/>
  <c r="F47" i="1"/>
  <c r="G47" i="1"/>
  <c r="H47" i="1"/>
  <c r="I47" i="1"/>
  <c r="T48" i="1"/>
  <c r="U48" i="1" s="1"/>
  <c r="E48" i="1"/>
  <c r="D48" i="1"/>
  <c r="T39" i="1"/>
  <c r="U39" i="1" s="1"/>
  <c r="E39" i="1"/>
  <c r="D39" i="1"/>
  <c r="T38" i="1"/>
  <c r="U38" i="1" s="1"/>
  <c r="E38" i="1"/>
  <c r="D38" i="1"/>
  <c r="A38" i="1"/>
  <c r="A39" i="1" s="1"/>
  <c r="A40" i="1" s="1"/>
  <c r="A41" i="1" s="1"/>
  <c r="A42" i="1" s="1"/>
  <c r="A43" i="1" s="1"/>
  <c r="A44" i="1" s="1"/>
  <c r="A45" i="1" s="1"/>
  <c r="A46" i="1" s="1"/>
  <c r="E37" i="1"/>
  <c r="D37" i="1"/>
  <c r="T46" i="1"/>
  <c r="U46" i="1" s="1"/>
  <c r="E46" i="1"/>
  <c r="D46" i="1"/>
  <c r="D34" i="1"/>
  <c r="E34" i="1"/>
  <c r="T34" i="1"/>
  <c r="U34" i="1" s="1"/>
  <c r="T32" i="1"/>
  <c r="U32" i="1" s="1"/>
  <c r="E32" i="1"/>
  <c r="D32" i="1"/>
  <c r="T31" i="1"/>
  <c r="U31" i="1" s="1"/>
  <c r="F31" i="1"/>
  <c r="D31" i="1" s="1"/>
  <c r="E31" i="1"/>
  <c r="T29" i="1"/>
  <c r="U29" i="1" s="1"/>
  <c r="E29" i="1"/>
  <c r="D29" i="1"/>
  <c r="T28" i="1"/>
  <c r="U28" i="1" s="1"/>
  <c r="E28" i="1"/>
  <c r="D28" i="1"/>
  <c r="T27" i="1"/>
  <c r="U27" i="1" s="1"/>
  <c r="E27" i="1"/>
  <c r="D27" i="1"/>
  <c r="T26" i="1"/>
  <c r="U26" i="1" s="1"/>
  <c r="E26" i="1"/>
  <c r="D26" i="1"/>
  <c r="T24" i="1"/>
  <c r="U24" i="1" s="1"/>
  <c r="E24" i="1"/>
  <c r="D24" i="1"/>
  <c r="T23" i="1"/>
  <c r="U23" i="1" s="1"/>
  <c r="E23" i="1"/>
  <c r="D23" i="1"/>
  <c r="T22" i="1"/>
  <c r="U22" i="1" s="1"/>
  <c r="E22" i="1"/>
  <c r="D22" i="1"/>
  <c r="T21" i="1"/>
  <c r="U21" i="1" s="1"/>
  <c r="E21" i="1"/>
  <c r="D21" i="1"/>
  <c r="T20" i="1"/>
  <c r="U20" i="1" s="1"/>
  <c r="O20" i="1"/>
  <c r="E20" i="1"/>
  <c r="D20" i="1"/>
  <c r="T19" i="1"/>
  <c r="U19" i="1" s="1"/>
  <c r="E19" i="1"/>
  <c r="D19" i="1"/>
  <c r="T18" i="1"/>
  <c r="U18" i="1" s="1"/>
  <c r="E18" i="1"/>
  <c r="D18" i="1"/>
  <c r="T17" i="1"/>
  <c r="U17" i="1" s="1"/>
  <c r="E17" i="1"/>
  <c r="D17" i="1"/>
  <c r="T16" i="1"/>
  <c r="U16" i="1" s="1"/>
  <c r="E16" i="1"/>
  <c r="D16" i="1"/>
  <c r="T15" i="1"/>
  <c r="U15" i="1" s="1"/>
  <c r="E15" i="1"/>
  <c r="D15" i="1"/>
  <c r="T14" i="1"/>
  <c r="U14" i="1" s="1"/>
  <c r="E14" i="1"/>
  <c r="D14" i="1"/>
  <c r="T13" i="1"/>
  <c r="U13" i="1" s="1"/>
  <c r="E13" i="1"/>
  <c r="D13" i="1"/>
  <c r="T11" i="1"/>
  <c r="U11" i="1" s="1"/>
  <c r="T12" i="1"/>
  <c r="U12" i="1" s="1"/>
  <c r="T25" i="1"/>
  <c r="U25" i="1" s="1"/>
  <c r="T30" i="1"/>
  <c r="U30" i="1" s="1"/>
  <c r="T33" i="1"/>
  <c r="U33" i="1" s="1"/>
  <c r="T37" i="1"/>
  <c r="U37" i="1" s="1"/>
  <c r="T40" i="1"/>
  <c r="U40" i="1" s="1"/>
  <c r="T41" i="1"/>
  <c r="U41" i="1" s="1"/>
  <c r="T49" i="1"/>
  <c r="U49" i="1" s="1"/>
  <c r="T50" i="1"/>
  <c r="U50" i="1" s="1"/>
  <c r="T52" i="1"/>
  <c r="U52" i="1" s="1"/>
  <c r="T53" i="1"/>
  <c r="U53" i="1" s="1"/>
  <c r="T55" i="1"/>
  <c r="U55" i="1" s="1"/>
  <c r="T73" i="1"/>
  <c r="U73" i="1" s="1"/>
  <c r="T74" i="1"/>
  <c r="U74" i="1" s="1"/>
  <c r="T79" i="1"/>
  <c r="U79" i="1" s="1"/>
  <c r="T82" i="1"/>
  <c r="U82" i="1" s="1"/>
  <c r="T83" i="1"/>
  <c r="U83" i="1" s="1"/>
  <c r="T85" i="1"/>
  <c r="U85" i="1" s="1"/>
  <c r="T86" i="1"/>
  <c r="U86" i="1" s="1"/>
  <c r="T87" i="1"/>
  <c r="U87" i="1" s="1"/>
  <c r="T93" i="1"/>
  <c r="U93" i="1" s="1"/>
  <c r="T94" i="1"/>
  <c r="U94" i="1" s="1"/>
  <c r="T95" i="1"/>
  <c r="U95" i="1" s="1"/>
  <c r="T96" i="1"/>
  <c r="U96" i="1" s="1"/>
  <c r="T10" i="1"/>
  <c r="U10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10" i="1"/>
  <c r="D10" i="1"/>
  <c r="E11" i="1"/>
  <c r="D11" i="1"/>
  <c r="E83" i="1"/>
  <c r="E82" i="1"/>
  <c r="E79" i="1"/>
  <c r="E74" i="1"/>
  <c r="E73" i="1"/>
  <c r="E96" i="1"/>
  <c r="E95" i="1"/>
  <c r="E94" i="1"/>
  <c r="E93" i="1"/>
  <c r="E87" i="1"/>
  <c r="E86" i="1"/>
  <c r="E85" i="1"/>
  <c r="E53" i="1"/>
  <c r="E50" i="1"/>
  <c r="E49" i="1"/>
  <c r="E41" i="1"/>
  <c r="E40" i="1"/>
  <c r="E33" i="1"/>
  <c r="E12" i="1"/>
  <c r="E25" i="1"/>
  <c r="E30" i="1"/>
  <c r="A79" i="3" l="1"/>
  <c r="A80" i="3" s="1"/>
  <c r="A81" i="3" s="1"/>
  <c r="C76" i="1"/>
  <c r="S76" i="1" s="1"/>
  <c r="C75" i="1"/>
  <c r="R75" i="1" s="1"/>
  <c r="S75" i="1" s="1"/>
  <c r="C81" i="1"/>
  <c r="R81" i="1" s="1"/>
  <c r="S81" i="1" s="1"/>
  <c r="C72" i="1"/>
  <c r="S72" i="1" s="1"/>
  <c r="C71" i="1"/>
  <c r="R71" i="1" s="1"/>
  <c r="S71" i="1" s="1"/>
  <c r="C68" i="1"/>
  <c r="R68" i="1" s="1"/>
  <c r="S68" i="1" s="1"/>
  <c r="C70" i="1"/>
  <c r="S70" i="1" s="1"/>
  <c r="C69" i="1"/>
  <c r="S69" i="1" s="1"/>
  <c r="C67" i="1"/>
  <c r="R67" i="1" s="1"/>
  <c r="S67" i="1" s="1"/>
  <c r="C66" i="1"/>
  <c r="R66" i="1" s="1"/>
  <c r="S66" i="1" s="1"/>
  <c r="C64" i="1"/>
  <c r="R64" i="1" s="1"/>
  <c r="S64" i="1" s="1"/>
  <c r="C65" i="1"/>
  <c r="R65" i="1" s="1"/>
  <c r="S65" i="1" s="1"/>
  <c r="C62" i="1"/>
  <c r="R62" i="1" s="1"/>
  <c r="S62" i="1" s="1"/>
  <c r="C63" i="1"/>
  <c r="S63" i="1" s="1"/>
  <c r="C61" i="1"/>
  <c r="R61" i="1" s="1"/>
  <c r="S61" i="1" s="1"/>
  <c r="C60" i="1"/>
  <c r="R60" i="1" s="1"/>
  <c r="S60" i="1" s="1"/>
  <c r="C59" i="1"/>
  <c r="R59" i="1" s="1"/>
  <c r="S59" i="1" s="1"/>
  <c r="C58" i="1"/>
  <c r="S58" i="1" s="1"/>
  <c r="C57" i="1"/>
  <c r="S57" i="1" s="1"/>
  <c r="C55" i="1"/>
  <c r="C56" i="1"/>
  <c r="S56" i="1" s="1"/>
  <c r="C48" i="1"/>
  <c r="S48" i="1" s="1"/>
  <c r="C51" i="1"/>
  <c r="R51" i="1" s="1"/>
  <c r="S51" i="1" s="1"/>
  <c r="C45" i="1"/>
  <c r="R45" i="1" s="1"/>
  <c r="S45" i="1" s="1"/>
  <c r="C42" i="1"/>
  <c r="S42" i="1" s="1"/>
  <c r="C44" i="1"/>
  <c r="C43" i="1"/>
  <c r="S43" i="1" s="1"/>
  <c r="E47" i="1"/>
  <c r="C39" i="1"/>
  <c r="R39" i="1" s="1"/>
  <c r="S39" i="1" s="1"/>
  <c r="C37" i="1"/>
  <c r="C46" i="1"/>
  <c r="S46" i="1" s="1"/>
  <c r="C38" i="1"/>
  <c r="R38" i="1" s="1"/>
  <c r="S38" i="1" s="1"/>
  <c r="C34" i="1"/>
  <c r="C32" i="1"/>
  <c r="C29" i="1"/>
  <c r="R29" i="1" s="1"/>
  <c r="S29" i="1" s="1"/>
  <c r="C31" i="1"/>
  <c r="R31" i="1" s="1"/>
  <c r="S31" i="1" s="1"/>
  <c r="C26" i="1"/>
  <c r="R26" i="1" s="1"/>
  <c r="S26" i="1" s="1"/>
  <c r="C28" i="1"/>
  <c r="R28" i="1" s="1"/>
  <c r="S28" i="1" s="1"/>
  <c r="C27" i="1"/>
  <c r="R27" i="1" s="1"/>
  <c r="S27" i="1" s="1"/>
  <c r="C24" i="1"/>
  <c r="R24" i="1" s="1"/>
  <c r="S24" i="1" s="1"/>
  <c r="C21" i="1"/>
  <c r="R21" i="1" s="1"/>
  <c r="S21" i="1" s="1"/>
  <c r="C23" i="1"/>
  <c r="R23" i="1" s="1"/>
  <c r="S23" i="1" s="1"/>
  <c r="C22" i="1"/>
  <c r="R22" i="1" s="1"/>
  <c r="S22" i="1" s="1"/>
  <c r="C20" i="1"/>
  <c r="R20" i="1" s="1"/>
  <c r="S20" i="1" s="1"/>
  <c r="C18" i="1"/>
  <c r="R18" i="1" s="1"/>
  <c r="S18" i="1" s="1"/>
  <c r="C19" i="1"/>
  <c r="R19" i="1" s="1"/>
  <c r="S19" i="1" s="1"/>
  <c r="C17" i="1"/>
  <c r="R17" i="1" s="1"/>
  <c r="S17" i="1" s="1"/>
  <c r="C16" i="1"/>
  <c r="R16" i="1" s="1"/>
  <c r="S16" i="1" s="1"/>
  <c r="C15" i="1"/>
  <c r="R15" i="1" s="1"/>
  <c r="S15" i="1" s="1"/>
  <c r="C14" i="1"/>
  <c r="R14" i="1" s="1"/>
  <c r="S14" i="1" s="1"/>
  <c r="C13" i="1"/>
  <c r="R13" i="1" s="1"/>
  <c r="S13" i="1" s="1"/>
  <c r="C11" i="1"/>
  <c r="R11" i="1" s="1"/>
  <c r="S11" i="1" s="1"/>
  <c r="C10" i="1"/>
  <c r="S10" i="1" s="1"/>
  <c r="A82" i="3" l="1"/>
  <c r="A84" i="3" s="1"/>
  <c r="A86" i="3" s="1"/>
  <c r="H84" i="1"/>
  <c r="H36" i="1"/>
  <c r="H9" i="1"/>
  <c r="I84" i="1"/>
  <c r="I54" i="1"/>
  <c r="I36" i="1"/>
  <c r="I9" i="1"/>
  <c r="A87" i="3" l="1"/>
  <c r="A89" i="3" s="1"/>
  <c r="A90" i="3" s="1"/>
  <c r="A91" i="3" s="1"/>
  <c r="A93" i="3" s="1"/>
  <c r="A95" i="3" s="1"/>
  <c r="A96" i="3" s="1"/>
  <c r="H35" i="1"/>
  <c r="H8" i="1" s="1"/>
  <c r="I35" i="1"/>
  <c r="I8" i="1" s="1"/>
  <c r="N9" i="1"/>
  <c r="P9" i="1"/>
  <c r="Q9" i="1"/>
  <c r="O9" i="1"/>
  <c r="N36" i="1"/>
  <c r="O36" i="1"/>
  <c r="P36" i="1"/>
  <c r="Q36" i="1"/>
  <c r="N47" i="1"/>
  <c r="O47" i="1"/>
  <c r="P47" i="1"/>
  <c r="Q47" i="1"/>
  <c r="N54" i="1"/>
  <c r="O54" i="1"/>
  <c r="Q54" i="1"/>
  <c r="P54" i="1"/>
  <c r="N84" i="1"/>
  <c r="O84" i="1"/>
  <c r="P84" i="1"/>
  <c r="Q84" i="1"/>
  <c r="A86" i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97" i="3" l="1"/>
  <c r="A98" i="3" s="1"/>
  <c r="A100" i="3" s="1"/>
  <c r="A102" i="3" s="1"/>
  <c r="A103" i="3" s="1"/>
  <c r="A104" i="3" s="1"/>
  <c r="A106" i="3" s="1"/>
  <c r="Q35" i="1"/>
  <c r="Q8" i="1" s="1"/>
  <c r="P35" i="1"/>
  <c r="P8" i="1" s="1"/>
  <c r="O35" i="1"/>
  <c r="O8" i="1" s="1"/>
  <c r="N35" i="1"/>
  <c r="N8" i="1" s="1"/>
  <c r="D87" i="1"/>
  <c r="D86" i="1"/>
  <c r="G84" i="1"/>
  <c r="T84" i="1" s="1"/>
  <c r="U84" i="1" s="1"/>
  <c r="G54" i="1"/>
  <c r="T54" i="1" s="1"/>
  <c r="U54" i="1" s="1"/>
  <c r="T47" i="1"/>
  <c r="U47" i="1" s="1"/>
  <c r="F36" i="1"/>
  <c r="G36" i="1"/>
  <c r="T36" i="1" s="1"/>
  <c r="U36" i="1" s="1"/>
  <c r="G9" i="1"/>
  <c r="D73" i="1"/>
  <c r="D41" i="1"/>
  <c r="D33" i="1"/>
  <c r="F9" i="1"/>
  <c r="A108" i="3" l="1"/>
  <c r="A110" i="3" s="1"/>
  <c r="A112" i="3" s="1"/>
  <c r="A114" i="3" s="1"/>
  <c r="A116" i="3" s="1"/>
  <c r="C87" i="1"/>
  <c r="S87" i="1" s="1"/>
  <c r="C86" i="1"/>
  <c r="S86" i="1" s="1"/>
  <c r="R55" i="1"/>
  <c r="S55" i="1" s="1"/>
  <c r="C41" i="1"/>
  <c r="C33" i="1"/>
  <c r="C73" i="1"/>
  <c r="S73" i="1" s="1"/>
  <c r="A117" i="3" l="1"/>
  <c r="A118" i="3" s="1"/>
  <c r="A120" i="3" s="1"/>
  <c r="F79" i="1"/>
  <c r="A50" i="1"/>
  <c r="A51" i="1" s="1"/>
  <c r="A52" i="1" s="1"/>
  <c r="A53" i="1" s="1"/>
  <c r="A122" i="3" l="1"/>
  <c r="A123" i="3" s="1"/>
  <c r="A124" i="3" s="1"/>
  <c r="A126" i="3" s="1"/>
  <c r="A128" i="3" s="1"/>
  <c r="A130" i="3" s="1"/>
  <c r="D94" i="1"/>
  <c r="D96" i="1"/>
  <c r="D40" i="1"/>
  <c r="C40" i="1" s="1"/>
  <c r="R40" i="1" s="1"/>
  <c r="S40" i="1" s="1"/>
  <c r="M9" i="1"/>
  <c r="L84" i="1"/>
  <c r="D50" i="1"/>
  <c r="D53" i="1"/>
  <c r="D74" i="1"/>
  <c r="D12" i="1"/>
  <c r="J84" i="1"/>
  <c r="D85" i="1"/>
  <c r="J36" i="1"/>
  <c r="K84" i="1"/>
  <c r="F84" i="1"/>
  <c r="M54" i="1"/>
  <c r="K36" i="1"/>
  <c r="J9" i="1"/>
  <c r="L36" i="1"/>
  <c r="D49" i="1"/>
  <c r="J54" i="1"/>
  <c r="D79" i="1"/>
  <c r="F54" i="1"/>
  <c r="M84" i="1"/>
  <c r="D25" i="1"/>
  <c r="D30" i="1"/>
  <c r="M36" i="1"/>
  <c r="K54" i="1"/>
  <c r="D82" i="1"/>
  <c r="D83" i="1"/>
  <c r="L9" i="1"/>
  <c r="D93" i="1"/>
  <c r="D95" i="1"/>
  <c r="F35" i="1"/>
  <c r="G35" i="1"/>
  <c r="A132" i="3" l="1"/>
  <c r="A134" i="3" s="1"/>
  <c r="A136" i="3" s="1"/>
  <c r="A138" i="3" s="1"/>
  <c r="A140" i="3" s="1"/>
  <c r="A142" i="3" s="1"/>
  <c r="A144" i="3" s="1"/>
  <c r="A146" i="3" s="1"/>
  <c r="A148" i="3" s="1"/>
  <c r="A150" i="3" s="1"/>
  <c r="A152" i="3" s="1"/>
  <c r="D47" i="1"/>
  <c r="G8" i="1"/>
  <c r="T35" i="1"/>
  <c r="U35" i="1" s="1"/>
  <c r="C82" i="1"/>
  <c r="R82" i="1" s="1"/>
  <c r="S82" i="1" s="1"/>
  <c r="K9" i="1"/>
  <c r="C12" i="1"/>
  <c r="R12" i="1" s="1"/>
  <c r="C79" i="1"/>
  <c r="S79" i="1" s="1"/>
  <c r="C93" i="1"/>
  <c r="R93" i="1" s="1"/>
  <c r="S93" i="1" s="1"/>
  <c r="C30" i="1"/>
  <c r="R30" i="1" s="1"/>
  <c r="S30" i="1" s="1"/>
  <c r="C94" i="1"/>
  <c r="R94" i="1" s="1"/>
  <c r="S94" i="1" s="1"/>
  <c r="C25" i="1"/>
  <c r="R25" i="1" s="1"/>
  <c r="S25" i="1" s="1"/>
  <c r="C95" i="1"/>
  <c r="R95" i="1" s="1"/>
  <c r="S95" i="1" s="1"/>
  <c r="C96" i="1"/>
  <c r="R96" i="1" s="1"/>
  <c r="S96" i="1" s="1"/>
  <c r="E9" i="1"/>
  <c r="C74" i="1"/>
  <c r="C50" i="1"/>
  <c r="R50" i="1" s="1"/>
  <c r="S50" i="1" s="1"/>
  <c r="D54" i="1"/>
  <c r="E84" i="1"/>
  <c r="L54" i="1"/>
  <c r="R37" i="1"/>
  <c r="E36" i="1"/>
  <c r="F8" i="1"/>
  <c r="D9" i="1"/>
  <c r="D36" i="1"/>
  <c r="C83" i="1"/>
  <c r="R83" i="1" s="1"/>
  <c r="S83" i="1" s="1"/>
  <c r="E54" i="1"/>
  <c r="C53" i="1"/>
  <c r="R53" i="1" s="1"/>
  <c r="S53" i="1" s="1"/>
  <c r="C49" i="1"/>
  <c r="C85" i="1"/>
  <c r="D84" i="1"/>
  <c r="K35" i="1"/>
  <c r="M35" i="1"/>
  <c r="M8" i="1" s="1"/>
  <c r="L35" i="1"/>
  <c r="J35" i="1"/>
  <c r="J8" i="1" s="1"/>
  <c r="R9" i="1" l="1"/>
  <c r="S12" i="1"/>
  <c r="S9" i="1" s="1"/>
  <c r="R84" i="1"/>
  <c r="S85" i="1"/>
  <c r="S84" i="1" s="1"/>
  <c r="R36" i="1"/>
  <c r="S37" i="1"/>
  <c r="S36" i="1" s="1"/>
  <c r="R54" i="1"/>
  <c r="S74" i="1"/>
  <c r="S54" i="1" s="1"/>
  <c r="R49" i="1"/>
  <c r="C47" i="1"/>
  <c r="C9" i="1"/>
  <c r="K8" i="1"/>
  <c r="L8" i="1"/>
  <c r="C84" i="1"/>
  <c r="C54" i="1"/>
  <c r="C36" i="1"/>
  <c r="E35" i="1"/>
  <c r="E8" i="1" s="1"/>
  <c r="D35" i="1"/>
  <c r="D8" i="1" s="1"/>
  <c r="R47" i="1" l="1"/>
  <c r="R35" i="1" s="1"/>
  <c r="R8" i="1" s="1"/>
  <c r="S49" i="1"/>
  <c r="S47" i="1" s="1"/>
  <c r="S35" i="1" s="1"/>
  <c r="S8" i="1" s="1"/>
  <c r="C35" i="1"/>
  <c r="C8" i="1" s="1"/>
  <c r="J9" i="3"/>
  <c r="E9" i="3"/>
  <c r="I9" i="3"/>
  <c r="N9" i="3"/>
  <c r="P9" i="3"/>
  <c r="Q9" i="3"/>
  <c r="L9" i="3"/>
  <c r="H9" i="3"/>
  <c r="M9" i="3"/>
  <c r="O9" i="3"/>
  <c r="F9" i="3"/>
  <c r="K9" i="3"/>
  <c r="D9" i="3"/>
  <c r="G9" i="3" l="1"/>
  <c r="F6" i="5"/>
  <c r="C7" i="5"/>
  <c r="C6" i="5" s="1"/>
  <c r="G7" i="5" l="1"/>
  <c r="G6" i="5" s="1"/>
</calcChain>
</file>

<file path=xl/sharedStrings.xml><?xml version="1.0" encoding="utf-8"?>
<sst xmlns="http://schemas.openxmlformats.org/spreadsheetml/2006/main" count="1350" uniqueCount="264">
  <si>
    <t>Т/р</t>
  </si>
  <si>
    <t>Давлат органлари ва ташкилотларининг номланиши</t>
  </si>
  <si>
    <t>Марказий аппарат</t>
  </si>
  <si>
    <t>Туман (шаҳар) бўлимлари</t>
  </si>
  <si>
    <t xml:space="preserve"> ишлаб чиқариш ходимлар 
сони</t>
  </si>
  <si>
    <t>Жами</t>
  </si>
  <si>
    <t>Ташқи ишлар вазирлиги</t>
  </si>
  <si>
    <t>ПҚ-4254-сон 28.03.2019</t>
  </si>
  <si>
    <t>2.2 Қўмиталар</t>
  </si>
  <si>
    <t>Президент таълим муассасалари агентлиги</t>
  </si>
  <si>
    <t>Ўзбекистон миллий ахборот агентлиги</t>
  </si>
  <si>
    <t>Молия вазирлиги ҳузуридаги Давлат-хусусий шерикликни ривожлантириш агентлиги</t>
  </si>
  <si>
    <t>Инвестициялар ва ташқи савдо вазирлиги ҳузуридаги Халқаро ҳамкорлик ва ривожланиш агентлиги</t>
  </si>
  <si>
    <t>Қурилиш вазирлиги ҳузуридаги Қурилиш соҳасида назорат инспекцияси</t>
  </si>
  <si>
    <t>ҚҚР ва вилоятлар</t>
  </si>
  <si>
    <t>Сув хўжалиги вазирлиги ҳузуридаги Сув хўжалигида капитал қурилиш лойиҳаларини амалга ошириш агентлиги</t>
  </si>
  <si>
    <t xml:space="preserve"> ишлаб чиқариш ходимлар (методист)
сони</t>
  </si>
  <si>
    <t xml:space="preserve"> ишлаб чиқариш ходимлар 
(методист)
сони</t>
  </si>
  <si>
    <t>Иқтисодий тараққиёт ва камбағалликни қисқартириш вазирлиги</t>
  </si>
  <si>
    <t>Молия вазирлиги</t>
  </si>
  <si>
    <t>Транспорт вазирлиги</t>
  </si>
  <si>
    <t>Бандлик ва меҳнат муносабатлари вазирлиги</t>
  </si>
  <si>
    <t>Олий ва ўрта махсус таълим вазирлиги</t>
  </si>
  <si>
    <t xml:space="preserve">Халқ таълими вазирлиги </t>
  </si>
  <si>
    <t>Соғлиқни сақлаш вазирлиги</t>
  </si>
  <si>
    <t xml:space="preserve">Қурилиш вазирлиги </t>
  </si>
  <si>
    <t xml:space="preserve">Инвестициялар ва ташқи савдо вазирлиги </t>
  </si>
  <si>
    <t>Ахборот технологиялари ва коммуникацияларини ривожлантириш вазирлиги</t>
  </si>
  <si>
    <t xml:space="preserve">Адлия вазирлиги </t>
  </si>
  <si>
    <t xml:space="preserve">Маданият вазирлиги </t>
  </si>
  <si>
    <t>Туризм ва маданий мерос вазирлиги</t>
  </si>
  <si>
    <t>Спортни ривожлантириш вазирлиги</t>
  </si>
  <si>
    <t>Уй-жой коммунал хизмат кўрсатиш вазирлиги</t>
  </si>
  <si>
    <t>Мактабгача таълим вазирлиги</t>
  </si>
  <si>
    <t>Инновацион ривожланиш вазирлиги</t>
  </si>
  <si>
    <t xml:space="preserve">Қишлоқ хўжалиги вазирлиги </t>
  </si>
  <si>
    <t>Сув хўжалиги вазирлиги</t>
  </si>
  <si>
    <t xml:space="preserve">Энергетика вазирлиги </t>
  </si>
  <si>
    <t>Маҳалла ва нуронийларни қўллаб-қувватлаш вазирлиги</t>
  </si>
  <si>
    <t>Давлат солиқ қўмитаси</t>
  </si>
  <si>
    <t>Давлат статистика қўмитаси</t>
  </si>
  <si>
    <t>Экология ва атроф-муҳитни муҳофаза қилиш давлат қўмитаси</t>
  </si>
  <si>
    <t>Давлат геология ва минерал ресурслар қўмитаси</t>
  </si>
  <si>
    <t xml:space="preserve">Саноат хавфсизлиги давлат қўмитаси </t>
  </si>
  <si>
    <t xml:space="preserve">Ўрмон хўжалиги давлат қўмитаси </t>
  </si>
  <si>
    <t>Ветеринария ва чорвачиликни ривожлантириш давлат қўмитаси</t>
  </si>
  <si>
    <t>Оила ва хотин-қизлар давлат қўмитаси</t>
  </si>
  <si>
    <t>Монополияга қарши курашиш қўмитаси</t>
  </si>
  <si>
    <t>Вазирлар Маҳкамаси ҳузуридаги Дин ишлари бўйича қўмита</t>
  </si>
  <si>
    <t>Вазирлар Маҳкамаси ҳузуридаги Давлат захираларини бошқариш қўмитаси</t>
  </si>
  <si>
    <t>Вазирлар Маҳкамаси ҳузуридаги Миллатлараро муносабатлар ва хорижий мамлакатлар билан дўстлик алоқалари қўмитаси</t>
  </si>
  <si>
    <t>Ипакчилик ва жун саноатини ривожлантириш қўмитаси</t>
  </si>
  <si>
    <t>Транспорт вазирлиги ҳузуридаги Автомобиль йўллари қўмитаси</t>
  </si>
  <si>
    <t>Вазирлар Маҳкамаси ҳузуридаги Космик тадқиқотлар ва технологиялар агентлиги</t>
  </si>
  <si>
    <t>Энергетика вазирлиги ҳузуридаги Атом энергетикасини ривожлантириш агентлиги</t>
  </si>
  <si>
    <t>Давлат активларини бошқариш агентлиги</t>
  </si>
  <si>
    <t>Алкоголь ва тамаки бозорини тартибга солиш ҳамда виночиликни ривожлантириш агентлиги</t>
  </si>
  <si>
    <t>Иқтисодий тараққиёт ва камбағалликни қисқартириш вазирлиги ҳузуридаги Маҳаллабай ишлаш ва тадбиркорликни ривожлантириш агентлиги</t>
  </si>
  <si>
    <t>Молия вазирлиги ҳузуридаги Суғурта бозорини ривожлантириш агентлиги</t>
  </si>
  <si>
    <t>Инвестициялар ва ташқи савдо вазирлиги ҳузуридаги Ўзбекистон техник жиҳатдан тартибга солиш агентлиги</t>
  </si>
  <si>
    <t>Инвестициялар ва ташқи савдо вазирлиги ҳузуридаги Хорижий инвестицияларни жалб этиш агентлиги</t>
  </si>
  <si>
    <t>Инвестициялар ва ташқи савдо вазирлиги ҳузуридаги Экспортни рағбатлантириш агентлиги</t>
  </si>
  <si>
    <t>Қишлоқ хўжалиги вазирлиги ҳузуридаги Боғдорчилик ва иссиқхона хўжалигини ривожлантириш агентлиги</t>
  </si>
  <si>
    <t>Ветеринария ва чорвачиликни ривожлантириш давлат қўмитаси ҳузуридаги “Ўзбекчорванасл” агентлиги</t>
  </si>
  <si>
    <t>Ўсимликлар карантини ва ҳимояси агентлиги</t>
  </si>
  <si>
    <t>Соғлиқни сақлаш вазирлиги ҳузуридаги Фармацевтика тармоғини ривожлантириш агентлиги</t>
  </si>
  <si>
    <t>Транспорт вазирлиги ҳузуридаги Фуқаро авиацияси агентлиги</t>
  </si>
  <si>
    <t>Давлат солиқ қўмитаси ҳузуридаги Кадастр агентлиги</t>
  </si>
  <si>
    <t>Монополияга қарши курашиш қўмитаси ҳузуридаги Истеъмолчилар ҳуқуқларини ҳимоя қилиш агентлиги</t>
  </si>
  <si>
    <t>“Ўзархив” агентлиги</t>
  </si>
  <si>
    <t>Вазирлар Маҳкамаси ҳузуридаги Хорижий тилларни ўрганишни оммалаштириш агентлиги</t>
  </si>
  <si>
    <t>Ёшлар ишлари агентлиги</t>
  </si>
  <si>
    <t>Вазирлар Маҳкамаси ҳузуридаги Миллий антидопинг агентлиги</t>
  </si>
  <si>
    <t>Тиббий-ижтимоий хизматларни ривожлантириш агентлиги</t>
  </si>
  <si>
    <t>Кинематография агентлиги</t>
  </si>
  <si>
    <t>Туризм ва маданий мерос вазирлиги ҳузуридаги Маданий мерос агентлиги</t>
  </si>
  <si>
    <t>Бандлик ва меҳнат муносабатлари вазирлиги ҳузуридаги Ташқи меҳнат миграцияси агентлиги</t>
  </si>
  <si>
    <t>Вазирлар Маҳкамаси ҳузуридаги Агросаноат мажмуи устидан назорат қилиш инспекцияси</t>
  </si>
  <si>
    <t>Энергетика вазирлиги ҳузуридаги Нефть маҳсулотлари ва газдан фойдаланишни назорат қилиш инспекцияси</t>
  </si>
  <si>
    <t>Энергетика вазирлиги ҳузуридаги Электр энергетикада назорат инспекцияси</t>
  </si>
  <si>
    <t>Давлат геология ва минерал ресурслар қўмитаси ҳузуридаги Кон-геология фаолиятини назорат қилиш инспекцияси</t>
  </si>
  <si>
    <t>Вазирлар Маҳкамаси ҳузуридаги Сув хўжалиги объектлари хавфсизлигини назорат қилиш давлат инспекцияси</t>
  </si>
  <si>
    <t>Транспорт вазирлиги ҳузуридаги Темир йўлларда юк ва йўловчилар ташиш хавфсизлигини назорат қилиш инспекцияси</t>
  </si>
  <si>
    <t>Транспорт вазирлиги ҳузуридаги Йўл-қурилиш ишлари сифатини назорат қилиш инспекцияси</t>
  </si>
  <si>
    <t>Уй-жой коммунал хизмат кўрсатиш вазирлиги ҳузуридаги ҳузуридаги Ичимлик сувидан фойдаланишни назорат қилиш давлат инспекцияси</t>
  </si>
  <si>
    <t>Ахборотлаштириш ва телекоммуникациялар соҳасида назорат бўйича давлат инспекцияси</t>
  </si>
  <si>
    <t>Вазирлар Маҳкамаси ҳузуридаги Таълим сифатини назорат қилиш давлат инспекцияси</t>
  </si>
  <si>
    <t>Фавқулодда вазиятлар вазирлиги ҳузуридаги Кичик ҳажмли кемалар инспекцияси</t>
  </si>
  <si>
    <t>Инвестициялар ва ташқи савдо вазирлиги ҳузуридаги Инвестиция лойиҳаларини ишлаб чиқиш маркази</t>
  </si>
  <si>
    <t>Гидрометеорология хизмати маркази</t>
  </si>
  <si>
    <t>Вазирлар Маҳкамаси ҳузуридаги Давлат тест маркази</t>
  </si>
  <si>
    <t>Вазирлар Маҳкамаси ҳузуридаги Давлат персоналлаштириш маркази</t>
  </si>
  <si>
    <t>Вазирлар Маҳкамаси ҳузуридаги Наркотик моддаларни назорат қилиш миллий ахборот-таҳлил маркази</t>
  </si>
  <si>
    <t>Соғлиқни сақлаш вазирлиги ҳузуридаги Санитария-эпидемиологик осойишталик ва жамоат саломатлиги хизмати</t>
  </si>
  <si>
    <t>Вазирлар Маҳкамаси ҳузуридаги Олий аттестация комиссияси</t>
  </si>
  <si>
    <t>Молия вазирлиги ҳузуридаги Давлат асиллик даражасини белгилаш палатаси</t>
  </si>
  <si>
    <t>Молия вазирлиги ҳузуридаги Бюджетдан ташқари Пенсия жамғармаси</t>
  </si>
  <si>
    <t>Соғлиқни сақлаш вазирлиги ҳузуридаги Инновацион соғлиқни сақлаш миллий палатаси</t>
  </si>
  <si>
    <t>Давлат божхона қўмитаси</t>
  </si>
  <si>
    <t>Мудофаа саноати давлат қўмитаси</t>
  </si>
  <si>
    <t>Ички ишлар вазирлиги</t>
  </si>
  <si>
    <t>Мудофаа вазирлиги</t>
  </si>
  <si>
    <t>Фавқулодда вазиятлар вазирлиги</t>
  </si>
  <si>
    <t xml:space="preserve">I. Вазирликлар </t>
  </si>
  <si>
    <t>II. Давлат қўмиталари ва қўмиталар</t>
  </si>
  <si>
    <t>III. Агентликлар</t>
  </si>
  <si>
    <t>IV. Инспекция, марказ ва бошқа идоралар</t>
  </si>
  <si>
    <t>Бошқарма</t>
  </si>
  <si>
    <t>01.10.2022 йил ҳолатига</t>
  </si>
  <si>
    <t>бошқарув   ходимлари 
сони</t>
  </si>
  <si>
    <t>2.1 Давлат қўмиталари</t>
  </si>
  <si>
    <t>Ҳудудий бўлинмалар</t>
  </si>
  <si>
    <t xml:space="preserve">Штат
бирликлари
сони </t>
  </si>
  <si>
    <t>раҳбар ўринбосари сони</t>
  </si>
  <si>
    <t>шундан</t>
  </si>
  <si>
    <t>раҳбарнинг биринчи ўринбосари сони</t>
  </si>
  <si>
    <t>Молия вазирлиги ҳузуридаги Давлат молиявий назорати инспекцияси</t>
  </si>
  <si>
    <r>
      <rPr>
        <b/>
        <sz val="14"/>
        <color rgb="FF0070C0"/>
        <rFont val="Calibri"/>
        <family val="2"/>
        <charset val="204"/>
        <scheme val="minor"/>
      </rPr>
      <t>Давлат бошқаруви органларининг штат бирликлари тўғрисида</t>
    </r>
    <r>
      <rPr>
        <b/>
        <sz val="14"/>
        <color theme="1"/>
        <rFont val="Calibri"/>
        <family val="2"/>
        <charset val="204"/>
        <scheme val="minor"/>
      </rPr>
      <t xml:space="preserve">
</t>
    </r>
    <r>
      <rPr>
        <b/>
        <sz val="14"/>
        <color rgb="FFC00000"/>
        <rFont val="Calibri"/>
        <family val="2"/>
        <charset val="204"/>
        <scheme val="minor"/>
      </rPr>
      <t>МАЪЛУМОТ</t>
    </r>
  </si>
  <si>
    <t>Уй-жой коммунал хизмат кўрсатиш вазирлиги ҳузуридаги ҳузуридаги Кўп хонадонли уй-жой фондидан фойдаланишни назорат қилиш инспекцияси</t>
  </si>
  <si>
    <t>Таклиф этилаётган штат бирликлари сони</t>
  </si>
  <si>
    <t>Фарқи</t>
  </si>
  <si>
    <t>Бошқарма
(вилоят)</t>
  </si>
  <si>
    <t xml:space="preserve"> ишлаб чиқариш ходим-лари 
сони</t>
  </si>
  <si>
    <t>Вазирлик ҳузуридаги ташкилотлар</t>
  </si>
  <si>
    <t>Амалда</t>
  </si>
  <si>
    <r>
      <t>Инвестициялар</t>
    </r>
    <r>
      <rPr>
        <b/>
        <sz val="12"/>
        <color rgb="FF0070C0"/>
        <rFont val="Calibri"/>
        <family val="2"/>
        <charset val="204"/>
        <scheme val="minor"/>
      </rPr>
      <t>, саноат</t>
    </r>
    <r>
      <rPr>
        <b/>
        <sz val="12"/>
        <color rgb="FFC00000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ва савдо вазирлиги</t>
    </r>
  </si>
  <si>
    <t>Ўзбекистон техник жиҳатдан тартибга солиш агентлиги</t>
  </si>
  <si>
    <t>Туризмни ривожлантириш агентлиги</t>
  </si>
  <si>
    <t>Хорижий инвестицияларни жалб этиш агентлиги</t>
  </si>
  <si>
    <t>Экспортни рағбатлантириш агентлиги</t>
  </si>
  <si>
    <t>Халқаро ҳамкорлик ва ривожланиш агентлиги</t>
  </si>
  <si>
    <t>Иқтисодиёт ва молия вазирлиги</t>
  </si>
  <si>
    <t>Солиқ қўмитаси</t>
  </si>
  <si>
    <t>Божхона қўмитаси</t>
  </si>
  <si>
    <t>Давлат захираларини бошқариш қўмитаси</t>
  </si>
  <si>
    <t>Кадастр агентлиги</t>
  </si>
  <si>
    <t>Молия вазирлиги Ғазначилиги</t>
  </si>
  <si>
    <t>Давлат асиллик даражасини белгилаш палатаси</t>
  </si>
  <si>
    <r>
      <t xml:space="preserve">Ғазначилик </t>
    </r>
    <r>
      <rPr>
        <sz val="12"/>
        <color rgb="FF0070C0"/>
        <rFont val="Calibri"/>
        <family val="2"/>
        <charset val="204"/>
        <scheme val="minor"/>
      </rPr>
      <t>қўмитаси</t>
    </r>
  </si>
  <si>
    <t>Бюджетдан ташқари Пенсия жамғармаси</t>
  </si>
  <si>
    <t>Давлат молиявий назорати инспекцияси</t>
  </si>
  <si>
    <t>Давлат-хусусий шерикликни ривожлантириш агентлиги</t>
  </si>
  <si>
    <t>Суғурта бозорини ривожлантириш агентлиги</t>
  </si>
  <si>
    <t>Давлат геология ва минерал ресурслар давлат қўмитаси</t>
  </si>
  <si>
    <t xml:space="preserve">Тоғ-кон ва геология вазирлиги </t>
  </si>
  <si>
    <t>Тоғкон-геология ва саноат хавфсизлигини назорат инспекцияси</t>
  </si>
  <si>
    <t>Кон-геология фаолиятини назорат қилиш инспекцияси</t>
  </si>
  <si>
    <t>Қурилиш ва уй-жой коммунал хўжалиги вазирлиги</t>
  </si>
  <si>
    <t>Кўп хонадонли уй-жой фондидан фойдаланишни назорат қилиш инспекцияси</t>
  </si>
  <si>
    <t>Ичимлик сувидан фойдаланишни назорат қилиш давлат инспекцияси</t>
  </si>
  <si>
    <t>Қурилиш соҳасида назорат инспекцияси</t>
  </si>
  <si>
    <t>Қурилиш ва уй-жой коммунал хўжалиги соҳасида назорат қилиш инспекцияси</t>
  </si>
  <si>
    <t>Камбағалликни қисқартириш, бандлик ва маҳаллабай ишлаш вазирлиги</t>
  </si>
  <si>
    <t>Вазирликлар ҳузуридаги ташкилотлар</t>
  </si>
  <si>
    <t>Маҳаллабай ишлаш ва тадбиркорликни ривожлантириш агентлиги</t>
  </si>
  <si>
    <t>Ташқи меҳнат миграцияси агентлиги</t>
  </si>
  <si>
    <t>Олий таълим, фан ва инновациялар вазирлиги</t>
  </si>
  <si>
    <t>Ихтисослаштирилган таълим муассасалари агентлиги</t>
  </si>
  <si>
    <t>Билим ва малакаларни баҳолаш агентлиги</t>
  </si>
  <si>
    <t>Мактабгача таълим агентлиги</t>
  </si>
  <si>
    <t>Табиат ресурслари вазирлиги</t>
  </si>
  <si>
    <t>Ўрмон хўжалиги агентлиги</t>
  </si>
  <si>
    <t>Гидрометеорология агентлиги</t>
  </si>
  <si>
    <t>Ветеринария ва фитосанитар назорати қўмитаси</t>
  </si>
  <si>
    <t>Боғдорчилик ва иссиқхона хўжалигини ривожлантириш агентлиги</t>
  </si>
  <si>
    <t xml:space="preserve">Қишлоқ хўжалигида хизматлар кўрсатиш агентлиги </t>
  </si>
  <si>
    <t>“Ўзбекчорванасл” агентлиги</t>
  </si>
  <si>
    <t>Космик тадқиқотлар ва технологиялар агентлиги</t>
  </si>
  <si>
    <r>
      <rPr>
        <b/>
        <i/>
        <sz val="12"/>
        <color rgb="FFC00000"/>
        <rFont val="Calibri"/>
        <family val="2"/>
        <charset val="204"/>
        <scheme val="minor"/>
      </rPr>
      <t>Вазирлар Маҳкамаси ҳузуридаги</t>
    </r>
    <r>
      <rPr>
        <sz val="12"/>
        <color theme="1"/>
        <rFont val="Calibri"/>
        <family val="2"/>
        <charset val="204"/>
        <scheme val="minor"/>
      </rPr>
      <t xml:space="preserve"> Космик тадқиқотлар ва технологиялар агентлиги</t>
    </r>
  </si>
  <si>
    <t>Ахборотлаштириш ва телекоммуникациялар соҳасида назорат инспекцияси</t>
  </si>
  <si>
    <t>Персоналлаштириш агентлиги</t>
  </si>
  <si>
    <t>Автомобиль йўллари қўмитаси</t>
  </si>
  <si>
    <t>Фуқаро авиацияси агентлиги</t>
  </si>
  <si>
    <t>Темир йўлларда юк ва йўловчилар ташиш хавфсизлигини назорат қилиш инспекцияси</t>
  </si>
  <si>
    <t>Йўл-қурилиш ишлари сифатини назорат қилиш инспекцияси</t>
  </si>
  <si>
    <r>
      <t>Рақамли технологиялар</t>
    </r>
    <r>
      <rPr>
        <b/>
        <sz val="12"/>
        <rFont val="Calibri"/>
        <family val="2"/>
        <charset val="204"/>
        <scheme val="minor"/>
      </rPr>
      <t xml:space="preserve"> вазирлиги</t>
    </r>
  </si>
  <si>
    <r>
      <rPr>
        <b/>
        <i/>
        <sz val="12"/>
        <color rgb="FFC00000"/>
        <rFont val="Calibri"/>
        <family val="2"/>
        <charset val="204"/>
        <scheme val="minor"/>
      </rPr>
      <t>Ахборот технологиялари ва коммуникацияларини ривожлантириш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вазирлиги</t>
    </r>
  </si>
  <si>
    <t>Миллатлараро муносабатлар ва хорижий мамлакатлар билан дўстлик алоқалари қўмитаси</t>
  </si>
  <si>
    <t>Маданий мерос агентлиги</t>
  </si>
  <si>
    <t>Сув хўжалигида капитал қурилиш лойиҳаларини амалга ошириш агентлиги</t>
  </si>
  <si>
    <r>
      <rPr>
        <b/>
        <sz val="12"/>
        <color rgb="FF0070C0"/>
        <rFont val="Calibri"/>
        <family val="2"/>
        <charset val="204"/>
        <scheme val="minor"/>
      </rPr>
      <t>Ёшлар сиёсати ва</t>
    </r>
    <r>
      <rPr>
        <b/>
        <sz val="12"/>
        <color theme="1"/>
        <rFont val="Calibri"/>
        <family val="2"/>
        <charset val="204"/>
        <scheme val="minor"/>
      </rPr>
      <t xml:space="preserve"> спорт вазирлиги</t>
    </r>
  </si>
  <si>
    <t>Нефть маҳсулотлари ва газдан фойдаланишни назорат қилиш инспекцияси</t>
  </si>
  <si>
    <t>Электр энергетикада назорат инспекцияси</t>
  </si>
  <si>
    <t>Электр энергияси, нефть маҳсулотлари ва газдан фойдаланишни назорат қилиш инспекцияси</t>
  </si>
  <si>
    <t>Атом энергетикасини ривожлантириш агентлиги</t>
  </si>
  <si>
    <t>Санитария-эпидемиологик осойишталик ва жамоат саломатлиги хизмати</t>
  </si>
  <si>
    <t>Инновацион соғлиқни сақлаш миллий палатаси</t>
  </si>
  <si>
    <t>Фармацевтика тармоғини ривожлантириш агентлиги</t>
  </si>
  <si>
    <r>
      <rPr>
        <b/>
        <sz val="12"/>
        <color rgb="FF0070C0"/>
        <rFont val="Calibri"/>
        <family val="2"/>
        <charset val="204"/>
        <scheme val="minor"/>
      </rPr>
      <t>Рақобатни ривожлантириш ва истеъмолчилар ҳуқуқларини ҳимоя қилиш</t>
    </r>
    <r>
      <rPr>
        <b/>
        <sz val="12"/>
        <color theme="1"/>
        <rFont val="Calibri"/>
        <family val="2"/>
        <charset val="204"/>
        <scheme val="minor"/>
      </rPr>
      <t xml:space="preserve"> қўмитаси</t>
    </r>
  </si>
  <si>
    <r>
      <rPr>
        <b/>
        <sz val="12"/>
        <color rgb="FFC00000"/>
        <rFont val="Calibri"/>
        <family val="2"/>
        <charset val="204"/>
        <scheme val="minor"/>
      </rPr>
      <t xml:space="preserve">Монополияга қарши курашиш </t>
    </r>
    <r>
      <rPr>
        <b/>
        <sz val="12"/>
        <color theme="1"/>
        <rFont val="Calibri"/>
        <family val="2"/>
        <charset val="204"/>
        <scheme val="minor"/>
      </rPr>
      <t>қўмитаси</t>
    </r>
  </si>
  <si>
    <t>Қўмита ҳузуридаги ташкилотлар</t>
  </si>
  <si>
    <t>Истеъмолчилар ҳуқуқларини ҳимоя қилиш агентлиги</t>
  </si>
  <si>
    <r>
      <rPr>
        <b/>
        <sz val="12"/>
        <color rgb="FF0070C0"/>
        <rFont val="Calibri"/>
        <family val="2"/>
        <charset val="204"/>
        <scheme val="minor"/>
      </rPr>
      <t xml:space="preserve">Ўзбекистон Республикаси Президенти ҳузуридаги </t>
    </r>
    <r>
      <rPr>
        <b/>
        <sz val="12"/>
        <color theme="1"/>
        <rFont val="Calibri"/>
        <family val="2"/>
        <charset val="204"/>
        <scheme val="minor"/>
      </rPr>
      <t xml:space="preserve">Статистика </t>
    </r>
    <r>
      <rPr>
        <b/>
        <sz val="12"/>
        <color rgb="FF0070C0"/>
        <rFont val="Calibri"/>
        <family val="2"/>
        <charset val="204"/>
        <scheme val="minor"/>
      </rPr>
      <t>агентлиги</t>
    </r>
  </si>
  <si>
    <r>
      <rPr>
        <b/>
        <sz val="12"/>
        <color rgb="FFC00000"/>
        <rFont val="Calibri"/>
        <family val="2"/>
        <charset val="204"/>
        <scheme val="minor"/>
      </rPr>
      <t>Давлат</t>
    </r>
    <r>
      <rPr>
        <b/>
        <sz val="12"/>
        <color theme="1"/>
        <rFont val="Calibri"/>
        <family val="2"/>
        <charset val="204"/>
        <scheme val="minor"/>
      </rPr>
      <t xml:space="preserve"> статистика </t>
    </r>
    <r>
      <rPr>
        <b/>
        <sz val="12"/>
        <color rgb="FFC00000"/>
        <rFont val="Calibri"/>
        <family val="2"/>
        <charset val="204"/>
        <scheme val="minor"/>
      </rPr>
      <t>қўмитаси</t>
    </r>
  </si>
  <si>
    <t>Дин ишлари бўйича қўмита</t>
  </si>
  <si>
    <t>Миллий антидопинг агентлиги</t>
  </si>
  <si>
    <r>
      <rPr>
        <b/>
        <i/>
        <sz val="12"/>
        <color rgb="FFC00000"/>
        <rFont val="Calibri"/>
        <family val="2"/>
        <charset val="204"/>
        <scheme val="minor"/>
      </rPr>
      <t xml:space="preserve">Вазирлар Маҳкамаси ҳузуридаги </t>
    </r>
    <r>
      <rPr>
        <b/>
        <sz val="12"/>
        <color theme="1"/>
        <rFont val="Calibri"/>
        <family val="2"/>
        <charset val="204"/>
        <scheme val="minor"/>
      </rPr>
      <t>Сув хўжалиги объектлари хавфсизлигини назорат қилиш давлат инспекцияси</t>
    </r>
  </si>
  <si>
    <t>Сув хўжалиги объектлари хавфсизлигини назорат қилиш инспекцияси</t>
  </si>
  <si>
    <t>Инвестиция лойиҳаларини ишлаб чиқиш маркази</t>
  </si>
  <si>
    <t>Таклиф</t>
  </si>
  <si>
    <t>Кичик ҳажмли кемалар инспекцияси</t>
  </si>
  <si>
    <t>Наркотик моддаларни назорат қилиш миллий ахборот-таҳлил агентлиги</t>
  </si>
  <si>
    <r>
      <t xml:space="preserve">Вазирлар Маҳкамаси ҳузуридаги Наркотик моддаларни назорат қилиш миллий ахборот-таҳлил </t>
    </r>
    <r>
      <rPr>
        <b/>
        <sz val="12"/>
        <color rgb="FFC00000"/>
        <rFont val="Calibri"/>
        <family val="2"/>
        <charset val="204"/>
        <scheme val="minor"/>
      </rPr>
      <t>маркази</t>
    </r>
  </si>
  <si>
    <r>
      <t xml:space="preserve">Наркотик моддаларни назорат қилиш миллий ахборот-таҳлил </t>
    </r>
    <r>
      <rPr>
        <b/>
        <sz val="12"/>
        <color rgb="FF0070C0"/>
        <rFont val="Calibri"/>
        <family val="2"/>
        <charset val="204"/>
        <scheme val="minor"/>
      </rPr>
      <t>агентлиги</t>
    </r>
  </si>
  <si>
    <t>Олий аттестация комиссияси</t>
  </si>
  <si>
    <t>Ветеринария ва чорвачиликни ривожлантириш қўмитаси</t>
  </si>
  <si>
    <t>Тоғ-кон геология ва саноат хавфсизлигини назорат инспекцияси</t>
  </si>
  <si>
    <t>Ташкилотлар</t>
  </si>
  <si>
    <t>Асос 
(норматив-ҳуқуқий ҳужжат)</t>
  </si>
  <si>
    <t>автотранспорт воситасининг маркаси</t>
  </si>
  <si>
    <t>Давлат рақами</t>
  </si>
  <si>
    <t>Ишлаб чиқарилган йили</t>
  </si>
  <si>
    <r>
      <t xml:space="preserve">автотранспорт ҳолати
</t>
    </r>
    <r>
      <rPr>
        <b/>
        <sz val="13"/>
        <color indexed="10"/>
        <rFont val="Calibri"/>
        <family val="2"/>
        <charset val="204"/>
      </rPr>
      <t>(соз ёки носоз)</t>
    </r>
  </si>
  <si>
    <r>
      <t>Амалда</t>
    </r>
    <r>
      <rPr>
        <b/>
        <sz val="13"/>
        <color indexed="10"/>
        <rFont val="Calibri"/>
        <family val="2"/>
        <charset val="204"/>
      </rPr>
      <t xml:space="preserve"> (балансда мавжуд)</t>
    </r>
  </si>
  <si>
    <t>Шундан</t>
  </si>
  <si>
    <t>Шахсий бириктирилган</t>
  </si>
  <si>
    <t>навбатчи</t>
  </si>
  <si>
    <t>махсус</t>
  </si>
  <si>
    <t>х</t>
  </si>
  <si>
    <t>x</t>
  </si>
  <si>
    <t>Шундан:</t>
  </si>
  <si>
    <t>соз</t>
  </si>
  <si>
    <t>Malibu 2</t>
  </si>
  <si>
    <t>Ласетти Жентра</t>
  </si>
  <si>
    <t>Навбатчи</t>
  </si>
  <si>
    <t>Mersedez-Benz</t>
  </si>
  <si>
    <t>Captiva</t>
  </si>
  <si>
    <t>2017 йил</t>
  </si>
  <si>
    <t>2018 йил</t>
  </si>
  <si>
    <t>2019 йил</t>
  </si>
  <si>
    <t>01/233/DAV</t>
  </si>
  <si>
    <t>01/234/DAV</t>
  </si>
  <si>
    <t>01/232/DAV</t>
  </si>
  <si>
    <t>Махсус</t>
  </si>
  <si>
    <t>раҳбар</t>
  </si>
  <si>
    <t>раҳбар ўринбосари</t>
  </si>
  <si>
    <t>Мактабгача таълим ташкилотлари директор ва мутахассисларини қайта тайёрлаш ва уларнинг малакасини ошириш институти</t>
  </si>
  <si>
    <t>01 959 JDA</t>
  </si>
  <si>
    <t>Кобалть</t>
  </si>
  <si>
    <t>01 197 YHA</t>
  </si>
  <si>
    <t>2022 йил</t>
  </si>
  <si>
    <t>фил РГПУ им. А.И.Герцена вг. Ташкенте</t>
  </si>
  <si>
    <t>ILK QADAM TAHRIRIYATI DUK</t>
  </si>
  <si>
    <t>SSANGYONG ISTANA</t>
  </si>
  <si>
    <t>01 103PJA</t>
  </si>
  <si>
    <t>Ихтисослаштирилган Лойиха-изланиш инстути ДУК</t>
  </si>
  <si>
    <t>01735 QHA</t>
  </si>
  <si>
    <t>01319 NGA</t>
  </si>
  <si>
    <t>01135QGA</t>
  </si>
  <si>
    <t xml:space="preserve">01 512 GBA </t>
  </si>
  <si>
    <t>01 925 СFA</t>
  </si>
  <si>
    <t>Мактабгача ва мактаб таълими вазирлиги ҳузуридаги мактабгача таълим агентлиги</t>
  </si>
  <si>
    <t>Директор</t>
  </si>
  <si>
    <t>Директорнинг биринчи ўринбосари</t>
  </si>
  <si>
    <t>Директор ўринбосари</t>
  </si>
  <si>
    <t>01/231/DAV</t>
  </si>
  <si>
    <t xml:space="preserve">Матбуот котиби </t>
  </si>
  <si>
    <t>01 423 MJA</t>
  </si>
  <si>
    <t>01 945 UJA</t>
  </si>
  <si>
    <t>Nexia- 3</t>
  </si>
  <si>
    <t>Damas</t>
  </si>
  <si>
    <r>
      <rPr>
        <b/>
        <sz val="18"/>
        <color indexed="10"/>
        <rFont val="Calibri"/>
        <family val="2"/>
        <charset val="204"/>
      </rPr>
      <t>Мактабгача ва мактаб таълими вазирлиги ҳузуридаги мактабгача таълим агентлигида</t>
    </r>
    <r>
      <rPr>
        <b/>
        <sz val="18"/>
        <color indexed="8"/>
        <rFont val="Calibri"/>
        <family val="2"/>
        <charset val="204"/>
      </rPr>
      <t xml:space="preserve"> ва муассислигидаги ташкилотларда мавжуд автотранспорт воситалари тўғрисида МАЪЛУМОТ</t>
    </r>
  </si>
  <si>
    <t>01.04.2024 йил холатига</t>
  </si>
  <si>
    <t>01/539/DAV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</si>
</sst>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_ ;[Red]\-#,##0\ "/>
    <numFmt numFmtId="165" formatCode="_-* #,##0_р_._-;\-* #,##0_р_._-;_-* &quot;-&quot;_р_.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rgb="FF002060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3"/>
      <color rgb="FFFF0000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i/>
      <sz val="11"/>
      <color rgb="FFC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i/>
      <sz val="12"/>
      <color rgb="FFC00000"/>
      <name val="Calibri"/>
      <family val="2"/>
      <charset val="204"/>
      <scheme val="minor"/>
    </font>
    <font>
      <b/>
      <i/>
      <sz val="12"/>
      <color rgb="FFC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8"/>
      <color indexed="10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i/>
      <sz val="13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i/>
      <sz val="13"/>
      <name val="Calibri"/>
      <family val="2"/>
      <charset val="204"/>
      <scheme val="minor"/>
    </font>
    <font>
      <b/>
      <i/>
      <sz val="13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8"/>
      <color theme="1"/>
      <name val="Calibri"/>
      <family val="2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05">
    <xf numFmtId="0" fontId="0" fillId="0" borderId="0" xfId="0"/>
    <xf numFmtId="0" fontId="3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4" borderId="0" xfId="0" applyFont="1" applyFill="1"/>
    <xf numFmtId="0" fontId="3" fillId="0" borderId="0" xfId="0" applyFont="1"/>
    <xf numFmtId="0" fontId="3" fillId="4" borderId="0" xfId="0" applyFont="1" applyFill="1" applyAlignment="1">
      <alignment horizontal="center" vertical="center"/>
    </xf>
    <xf numFmtId="0" fontId="3" fillId="0" borderId="0" xfId="0" applyFont="1" applyFill="1"/>
    <xf numFmtId="0" fontId="11" fillId="0" borderId="0" xfId="0" applyFont="1" applyFill="1"/>
    <xf numFmtId="3" fontId="8" fillId="2" borderId="1" xfId="1" applyNumberFormat="1" applyFont="1" applyFill="1" applyBorder="1" applyAlignment="1">
      <alignment horizontal="center" vertical="center"/>
    </xf>
    <xf numFmtId="3" fontId="8" fillId="5" borderId="1" xfId="1" applyNumberFormat="1" applyFont="1" applyFill="1" applyBorder="1" applyAlignment="1">
      <alignment horizontal="center" vertical="center"/>
    </xf>
    <xf numFmtId="3" fontId="8" fillId="6" borderId="1" xfId="1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3" fontId="14" fillId="6" borderId="1" xfId="1" applyNumberFormat="1" applyFont="1" applyFill="1" applyBorder="1" applyAlignment="1">
      <alignment horizontal="center" vertical="center"/>
    </xf>
    <xf numFmtId="3" fontId="14" fillId="2" borderId="1" xfId="1" applyNumberFormat="1" applyFont="1" applyFill="1" applyBorder="1" applyAlignment="1">
      <alignment horizontal="center" vertical="center"/>
    </xf>
    <xf numFmtId="3" fontId="14" fillId="5" borderId="1" xfId="1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 indent="1"/>
    </xf>
    <xf numFmtId="3" fontId="14" fillId="0" borderId="1" xfId="1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 indent="1"/>
    </xf>
    <xf numFmtId="3" fontId="14" fillId="4" borderId="1" xfId="1" applyNumberFormat="1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 indent="1"/>
    </xf>
    <xf numFmtId="3" fontId="19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8" fillId="0" borderId="1" xfId="1" applyNumberFormat="1" applyFont="1" applyFill="1" applyBorder="1" applyAlignment="1">
      <alignment horizontal="center" vertical="center"/>
    </xf>
    <xf numFmtId="3" fontId="18" fillId="4" borderId="1" xfId="1" applyNumberFormat="1" applyFont="1" applyFill="1" applyBorder="1" applyAlignment="1">
      <alignment horizontal="center" vertical="center"/>
    </xf>
    <xf numFmtId="164" fontId="18" fillId="0" borderId="1" xfId="1" applyNumberFormat="1" applyFont="1" applyFill="1" applyBorder="1" applyAlignment="1">
      <alignment horizontal="center" vertical="center"/>
    </xf>
    <xf numFmtId="164" fontId="14" fillId="6" borderId="1" xfId="1" applyNumberFormat="1" applyFont="1" applyFill="1" applyBorder="1" applyAlignment="1">
      <alignment horizontal="center" vertical="center"/>
    </xf>
    <xf numFmtId="164" fontId="14" fillId="2" borderId="1" xfId="1" applyNumberFormat="1" applyFont="1" applyFill="1" applyBorder="1" applyAlignment="1">
      <alignment horizontal="center" vertical="center"/>
    </xf>
    <xf numFmtId="164" fontId="14" fillId="4" borderId="1" xfId="1" applyNumberFormat="1" applyFont="1" applyFill="1" applyBorder="1" applyAlignment="1">
      <alignment horizontal="center" vertical="center"/>
    </xf>
    <xf numFmtId="164" fontId="14" fillId="5" borderId="1" xfId="1" applyNumberFormat="1" applyFont="1" applyFill="1" applyBorder="1" applyAlignment="1">
      <alignment horizontal="center" vertical="center"/>
    </xf>
    <xf numFmtId="164" fontId="18" fillId="4" borderId="1" xfId="1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25" fillId="0" borderId="1" xfId="1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25" fillId="0" borderId="1" xfId="1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 indent="2"/>
    </xf>
    <xf numFmtId="0" fontId="30" fillId="0" borderId="1" xfId="0" applyFont="1" applyFill="1" applyBorder="1" applyAlignment="1">
      <alignment horizontal="left" vertical="center" wrapText="1" indent="1"/>
    </xf>
    <xf numFmtId="0" fontId="27" fillId="0" borderId="1" xfId="0" applyFont="1" applyFill="1" applyBorder="1" applyAlignment="1">
      <alignment horizontal="left" vertical="center" wrapText="1" indent="1"/>
    </xf>
    <xf numFmtId="0" fontId="28" fillId="0" borderId="1" xfId="0" applyFont="1" applyFill="1" applyBorder="1" applyAlignment="1">
      <alignment horizontal="left" vertical="center" wrapText="1" indent="2"/>
    </xf>
    <xf numFmtId="164" fontId="18" fillId="0" borderId="2" xfId="1" applyNumberFormat="1" applyFont="1" applyFill="1" applyBorder="1" applyAlignment="1">
      <alignment horizontal="center" vertical="center"/>
    </xf>
    <xf numFmtId="164" fontId="18" fillId="0" borderId="3" xfId="1" applyNumberFormat="1" applyFont="1" applyFill="1" applyBorder="1" applyAlignment="1">
      <alignment horizontal="center" vertical="center"/>
    </xf>
    <xf numFmtId="3" fontId="14" fillId="0" borderId="2" xfId="1" applyNumberFormat="1" applyFont="1" applyFill="1" applyBorder="1" applyAlignment="1">
      <alignment horizontal="center" vertical="center"/>
    </xf>
    <xf numFmtId="3" fontId="14" fillId="0" borderId="3" xfId="1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center" wrapText="1" indent="2"/>
    </xf>
    <xf numFmtId="0" fontId="12" fillId="0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indent="1"/>
    </xf>
    <xf numFmtId="3" fontId="17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3" fontId="18" fillId="2" borderId="1" xfId="1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18" fillId="2" borderId="1" xfId="1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2" fillId="0" borderId="0" xfId="0" applyFont="1"/>
    <xf numFmtId="0" fontId="31" fillId="0" borderId="0" xfId="0" applyFont="1"/>
    <xf numFmtId="3" fontId="12" fillId="2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0" fillId="0" borderId="1" xfId="0" applyFont="1" applyFill="1" applyBorder="1" applyAlignment="1">
      <alignment horizontal="left" vertical="center" wrapText="1" indent="2"/>
    </xf>
    <xf numFmtId="0" fontId="13" fillId="0" borderId="1" xfId="0" applyFont="1" applyFill="1" applyBorder="1" applyAlignment="1">
      <alignment horizontal="left" vertical="center" wrapText="1" indent="2"/>
    </xf>
    <xf numFmtId="0" fontId="12" fillId="5" borderId="0" xfId="0" applyFont="1" applyFill="1"/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/>
    <xf numFmtId="164" fontId="25" fillId="6" borderId="1" xfId="1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/>
    </xf>
    <xf numFmtId="3" fontId="17" fillId="2" borderId="1" xfId="1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 indent="2"/>
    </xf>
    <xf numFmtId="3" fontId="17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 indent="1"/>
    </xf>
    <xf numFmtId="3" fontId="25" fillId="0" borderId="1" xfId="0" applyNumberFormat="1" applyFont="1" applyFill="1" applyBorder="1" applyAlignment="1">
      <alignment horizontal="center" vertical="center"/>
    </xf>
    <xf numFmtId="164" fontId="18" fillId="0" borderId="1" xfId="1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164" fontId="18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 indent="2"/>
    </xf>
    <xf numFmtId="0" fontId="27" fillId="0" borderId="1" xfId="0" applyFont="1" applyFill="1" applyBorder="1" applyAlignment="1">
      <alignment horizontal="left" vertical="center" wrapText="1" indent="1"/>
    </xf>
    <xf numFmtId="3" fontId="2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/>
    <xf numFmtId="164" fontId="3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left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0" fontId="39" fillId="0" borderId="1" xfId="2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39" fillId="0" borderId="1" xfId="3" applyFont="1" applyFill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5" fontId="37" fillId="0" borderId="1" xfId="0" applyNumberFormat="1" applyFont="1" applyFill="1" applyBorder="1" applyAlignment="1">
      <alignment horizontal="left" vertical="center" wrapText="1" indent="1"/>
    </xf>
    <xf numFmtId="165" fontId="9" fillId="0" borderId="1" xfId="0" applyNumberFormat="1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 horizontal="left"/>
    </xf>
    <xf numFmtId="164" fontId="5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165" fontId="43" fillId="0" borderId="1" xfId="0" applyNumberFormat="1" applyFont="1" applyFill="1" applyBorder="1" applyAlignment="1">
      <alignment horizontal="left" vertical="center" wrapText="1"/>
    </xf>
    <xf numFmtId="164" fontId="43" fillId="0" borderId="1" xfId="0" applyNumberFormat="1" applyFont="1" applyFill="1" applyBorder="1" applyAlignment="1">
      <alignment horizontal="center" vertical="center" wrapText="1"/>
    </xf>
    <xf numFmtId="164" fontId="41" fillId="0" borderId="1" xfId="0" applyNumberFormat="1" applyFont="1" applyFill="1" applyBorder="1" applyAlignment="1">
      <alignment horizontal="center" vertical="center" wrapText="1"/>
    </xf>
    <xf numFmtId="164" fontId="39" fillId="0" borderId="1" xfId="0" applyNumberFormat="1" applyFont="1" applyFill="1" applyBorder="1" applyAlignment="1">
      <alignment horizontal="center" vertical="center" wrapText="1"/>
    </xf>
    <xf numFmtId="3" fontId="36" fillId="0" borderId="1" xfId="0" applyNumberFormat="1" applyFont="1" applyFill="1" applyBorder="1" applyAlignment="1">
      <alignment horizontal="center" vertical="center" wrapText="1"/>
    </xf>
    <xf numFmtId="3" fontId="36" fillId="0" borderId="1" xfId="0" applyNumberFormat="1" applyFont="1" applyFill="1" applyBorder="1" applyAlignment="1">
      <alignment horizontal="left" vertical="center" wrapText="1" indent="1"/>
    </xf>
    <xf numFmtId="3" fontId="44" fillId="0" borderId="1" xfId="0" applyNumberFormat="1" applyFont="1" applyFill="1" applyBorder="1" applyAlignment="1">
      <alignment horizontal="left" vertical="center" wrapText="1" indent="1"/>
    </xf>
    <xf numFmtId="164" fontId="37" fillId="0" borderId="0" xfId="0" applyNumberFormat="1" applyFont="1" applyFill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 applyAlignment="1">
      <alignment horizontal="center" vertical="center"/>
    </xf>
    <xf numFmtId="164" fontId="41" fillId="0" borderId="1" xfId="0" applyNumberFormat="1" applyFont="1" applyFill="1" applyBorder="1" applyAlignment="1">
      <alignment horizontal="center" vertical="center"/>
    </xf>
    <xf numFmtId="164" fontId="3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2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/>
    </xf>
    <xf numFmtId="0" fontId="26" fillId="5" borderId="6" xfId="0" applyFont="1" applyFill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12" fillId="5" borderId="2" xfId="0" applyNumberFormat="1" applyFont="1" applyFill="1" applyBorder="1" applyAlignment="1">
      <alignment horizontal="center" vertical="center" wrapText="1"/>
    </xf>
    <xf numFmtId="0" fontId="12" fillId="5" borderId="4" xfId="0" applyNumberFormat="1" applyFont="1" applyFill="1" applyBorder="1" applyAlignment="1">
      <alignment horizontal="center" vertical="center" wrapText="1"/>
    </xf>
    <xf numFmtId="0" fontId="12" fillId="5" borderId="3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 indent="2"/>
    </xf>
    <xf numFmtId="0" fontId="28" fillId="0" borderId="3" xfId="0" applyFont="1" applyFill="1" applyBorder="1" applyAlignment="1">
      <alignment horizontal="left" vertical="center" wrapText="1" indent="2"/>
    </xf>
    <xf numFmtId="3" fontId="12" fillId="0" borderId="2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3" fontId="14" fillId="0" borderId="2" xfId="1" applyNumberFormat="1" applyFont="1" applyFill="1" applyBorder="1" applyAlignment="1">
      <alignment horizontal="center" vertical="center"/>
    </xf>
    <xf numFmtId="3" fontId="14" fillId="0" borderId="3" xfId="1" applyNumberFormat="1" applyFont="1" applyFill="1" applyBorder="1" applyAlignment="1">
      <alignment horizontal="center" vertical="center"/>
    </xf>
    <xf numFmtId="164" fontId="18" fillId="0" borderId="2" xfId="1" applyNumberFormat="1" applyFont="1" applyFill="1" applyBorder="1" applyAlignment="1">
      <alignment horizontal="center" vertical="center"/>
    </xf>
    <xf numFmtId="164" fontId="18" fillId="0" borderId="3" xfId="1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 wrapText="1" indent="1"/>
    </xf>
    <xf numFmtId="0" fontId="27" fillId="0" borderId="3" xfId="0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3" fontId="25" fillId="0" borderId="2" xfId="0" applyNumberFormat="1" applyFont="1" applyFill="1" applyBorder="1" applyAlignment="1">
      <alignment horizontal="center" vertical="center"/>
    </xf>
    <xf numFmtId="3" fontId="25" fillId="0" borderId="3" xfId="0" applyNumberFormat="1" applyFont="1" applyFill="1" applyBorder="1" applyAlignment="1">
      <alignment horizontal="center" vertical="center"/>
    </xf>
    <xf numFmtId="3" fontId="28" fillId="0" borderId="2" xfId="0" applyNumberFormat="1" applyFont="1" applyFill="1" applyBorder="1" applyAlignment="1">
      <alignment horizontal="left" vertical="center" wrapText="1" indent="2"/>
    </xf>
    <xf numFmtId="3" fontId="28" fillId="0" borderId="4" xfId="0" applyNumberFormat="1" applyFont="1" applyFill="1" applyBorder="1" applyAlignment="1">
      <alignment horizontal="left" vertical="center" wrapText="1" indent="2"/>
    </xf>
    <xf numFmtId="3" fontId="28" fillId="0" borderId="3" xfId="0" applyNumberFormat="1" applyFont="1" applyFill="1" applyBorder="1" applyAlignment="1">
      <alignment horizontal="left" vertical="center" wrapText="1" indent="2"/>
    </xf>
    <xf numFmtId="3" fontId="14" fillId="0" borderId="4" xfId="1" applyNumberFormat="1" applyFont="1" applyFill="1" applyBorder="1" applyAlignment="1">
      <alignment horizontal="center" vertical="center"/>
    </xf>
    <xf numFmtId="164" fontId="18" fillId="0" borderId="4" xfId="1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27" fillId="0" borderId="2" xfId="0" applyNumberFormat="1" applyFont="1" applyFill="1" applyBorder="1" applyAlignment="1">
      <alignment horizontal="left" vertical="center" indent="1"/>
    </xf>
    <xf numFmtId="3" fontId="27" fillId="0" borderId="3" xfId="0" applyNumberFormat="1" applyFont="1" applyFill="1" applyBorder="1" applyAlignment="1">
      <alignment horizontal="left" vertical="center" inden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 indent="2"/>
    </xf>
    <xf numFmtId="3" fontId="17" fillId="0" borderId="1" xfId="1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left" vertical="center" wrapText="1" indent="2"/>
    </xf>
    <xf numFmtId="0" fontId="1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 indent="1"/>
    </xf>
    <xf numFmtId="3" fontId="27" fillId="0" borderId="1" xfId="0" applyNumberFormat="1" applyFont="1" applyFill="1" applyBorder="1" applyAlignment="1">
      <alignment horizontal="left" vertical="center" indent="1"/>
    </xf>
    <xf numFmtId="164" fontId="18" fillId="0" borderId="1" xfId="1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164" fontId="35" fillId="0" borderId="1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08"/>
  <sheetViews>
    <sheetView view="pageBreakPreview" zoomScale="115" zoomScaleNormal="100" zoomScaleSheetLayoutView="115" workbookViewId="0">
      <pane xSplit="2" ySplit="8" topLeftCell="C59" activePane="bottomRight" state="frozen"/>
      <selection activeCell="M68" sqref="M68"/>
      <selection pane="topRight" activeCell="M68" sqref="M68"/>
      <selection pane="bottomLeft" activeCell="M68" sqref="M68"/>
      <selection pane="bottomRight" activeCell="M68" sqref="M68"/>
    </sheetView>
  </sheetViews>
  <sheetFormatPr defaultRowHeight="16.5" x14ac:dyDescent="0.25"/>
  <cols>
    <col min="1" max="1" width="4.7109375" style="5" bestFit="1" customWidth="1"/>
    <col min="2" max="2" width="71.85546875" style="5" customWidth="1"/>
    <col min="3" max="3" width="12.85546875" style="5" customWidth="1"/>
    <col min="4" max="4" width="11.7109375" style="5" customWidth="1"/>
    <col min="5" max="5" width="10.42578125" style="5" customWidth="1"/>
    <col min="6" max="6" width="11.85546875" style="5" customWidth="1"/>
    <col min="7" max="7" width="12.85546875" style="5" customWidth="1"/>
    <col min="8" max="8" width="12.28515625" style="5" customWidth="1"/>
    <col min="9" max="9" width="11.140625" style="5" customWidth="1"/>
    <col min="10" max="10" width="11.7109375" style="5" customWidth="1"/>
    <col min="11" max="11" width="11.42578125" style="5" customWidth="1"/>
    <col min="12" max="12" width="11.85546875" style="5" customWidth="1"/>
    <col min="13" max="13" width="11.140625" style="5" customWidth="1"/>
    <col min="14" max="14" width="14" style="5" hidden="1" customWidth="1"/>
    <col min="15" max="15" width="15.140625" style="5" hidden="1" customWidth="1"/>
    <col min="16" max="16" width="14" style="5" hidden="1" customWidth="1"/>
    <col min="17" max="17" width="15.140625" style="5" hidden="1" customWidth="1"/>
    <col min="18" max="18" width="13.140625" style="5" customWidth="1"/>
    <col min="19" max="19" width="9.5703125" style="5" customWidth="1"/>
    <col min="20" max="16384" width="9.140625" style="5"/>
  </cols>
  <sheetData>
    <row r="1" spans="1:94" ht="14.25" customHeight="1" x14ac:dyDescent="0.25"/>
    <row r="2" spans="1:94" ht="33" customHeight="1" x14ac:dyDescent="0.25">
      <c r="A2" s="155" t="s">
        <v>117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"/>
      <c r="O2" s="15"/>
      <c r="P2" s="15"/>
      <c r="Q2" s="15"/>
    </row>
    <row r="3" spans="1:94" x14ac:dyDescent="0.25">
      <c r="B3" s="153" t="s">
        <v>108</v>
      </c>
      <c r="C3" s="154"/>
      <c r="D3" s="154"/>
    </row>
    <row r="4" spans="1:94" s="13" customFormat="1" ht="20.25" customHeight="1" x14ac:dyDescent="0.25">
      <c r="A4" s="152" t="s">
        <v>0</v>
      </c>
      <c r="B4" s="151" t="s">
        <v>1</v>
      </c>
      <c r="C4" s="151" t="s">
        <v>112</v>
      </c>
      <c r="D4" s="151" t="s">
        <v>5</v>
      </c>
      <c r="E4" s="151"/>
      <c r="F4" s="152" t="s">
        <v>2</v>
      </c>
      <c r="G4" s="152"/>
      <c r="H4" s="152"/>
      <c r="I4" s="152"/>
      <c r="J4" s="151" t="s">
        <v>111</v>
      </c>
      <c r="K4" s="151"/>
      <c r="L4" s="151"/>
      <c r="M4" s="151"/>
      <c r="N4" s="150" t="s">
        <v>14</v>
      </c>
      <c r="O4" s="150"/>
      <c r="P4" s="150"/>
      <c r="Q4" s="150"/>
      <c r="R4" s="149" t="s">
        <v>119</v>
      </c>
      <c r="S4" s="149" t="s">
        <v>120</v>
      </c>
    </row>
    <row r="5" spans="1:94" s="13" customFormat="1" ht="31.5" customHeight="1" x14ac:dyDescent="0.25">
      <c r="A5" s="152"/>
      <c r="B5" s="151"/>
      <c r="C5" s="151"/>
      <c r="D5" s="151"/>
      <c r="E5" s="151"/>
      <c r="F5" s="152"/>
      <c r="G5" s="152"/>
      <c r="H5" s="152"/>
      <c r="I5" s="152"/>
      <c r="J5" s="151" t="s">
        <v>107</v>
      </c>
      <c r="K5" s="151"/>
      <c r="L5" s="151" t="s">
        <v>3</v>
      </c>
      <c r="M5" s="151"/>
      <c r="N5" s="150" t="s">
        <v>107</v>
      </c>
      <c r="O5" s="150"/>
      <c r="P5" s="150" t="s">
        <v>3</v>
      </c>
      <c r="Q5" s="150"/>
      <c r="R5" s="149"/>
      <c r="S5" s="149"/>
    </row>
    <row r="6" spans="1:94" s="13" customFormat="1" ht="31.5" customHeight="1" x14ac:dyDescent="0.25">
      <c r="A6" s="152"/>
      <c r="B6" s="151"/>
      <c r="C6" s="151"/>
      <c r="D6" s="157" t="s">
        <v>109</v>
      </c>
      <c r="E6" s="157" t="s">
        <v>4</v>
      </c>
      <c r="F6" s="157" t="s">
        <v>109</v>
      </c>
      <c r="G6" s="158" t="s">
        <v>114</v>
      </c>
      <c r="H6" s="158"/>
      <c r="I6" s="157" t="s">
        <v>4</v>
      </c>
      <c r="J6" s="157" t="s">
        <v>109</v>
      </c>
      <c r="K6" s="157" t="s">
        <v>4</v>
      </c>
      <c r="L6" s="157" t="s">
        <v>109</v>
      </c>
      <c r="M6" s="157" t="s">
        <v>4</v>
      </c>
      <c r="N6" s="35"/>
      <c r="O6" s="35"/>
      <c r="P6" s="35"/>
      <c r="Q6" s="35"/>
      <c r="R6" s="149"/>
      <c r="S6" s="149"/>
    </row>
    <row r="7" spans="1:94" s="14" customFormat="1" ht="62.25" customHeight="1" x14ac:dyDescent="0.25">
      <c r="A7" s="152"/>
      <c r="B7" s="151"/>
      <c r="C7" s="151"/>
      <c r="D7" s="157"/>
      <c r="E7" s="157"/>
      <c r="F7" s="157"/>
      <c r="G7" s="21" t="s">
        <v>115</v>
      </c>
      <c r="H7" s="21" t="s">
        <v>113</v>
      </c>
      <c r="I7" s="157"/>
      <c r="J7" s="157"/>
      <c r="K7" s="157"/>
      <c r="L7" s="157"/>
      <c r="M7" s="157"/>
      <c r="N7" s="36" t="s">
        <v>109</v>
      </c>
      <c r="O7" s="36" t="s">
        <v>16</v>
      </c>
      <c r="P7" s="36" t="s">
        <v>109</v>
      </c>
      <c r="Q7" s="36" t="s">
        <v>17</v>
      </c>
      <c r="R7" s="149"/>
      <c r="S7" s="149"/>
    </row>
    <row r="8" spans="1:94" s="12" customFormat="1" ht="17.25" x14ac:dyDescent="0.25">
      <c r="A8" s="16"/>
      <c r="B8" s="17" t="s">
        <v>5</v>
      </c>
      <c r="C8" s="18">
        <f t="shared" ref="C8:S8" si="0">+C9+C35+C54+C84</f>
        <v>107810.75</v>
      </c>
      <c r="D8" s="18">
        <f t="shared" si="0"/>
        <v>84305.5</v>
      </c>
      <c r="E8" s="18">
        <f t="shared" si="0"/>
        <v>23505.25</v>
      </c>
      <c r="F8" s="18">
        <f t="shared" si="0"/>
        <v>8060</v>
      </c>
      <c r="G8" s="18">
        <f t="shared" si="0"/>
        <v>64</v>
      </c>
      <c r="H8" s="18">
        <f t="shared" si="0"/>
        <v>159</v>
      </c>
      <c r="I8" s="18">
        <f t="shared" si="0"/>
        <v>800</v>
      </c>
      <c r="J8" s="18">
        <f t="shared" si="0"/>
        <v>16094</v>
      </c>
      <c r="K8" s="18">
        <f t="shared" si="0"/>
        <v>4317</v>
      </c>
      <c r="L8" s="18">
        <f t="shared" si="0"/>
        <v>60151.5</v>
      </c>
      <c r="M8" s="18">
        <f t="shared" si="0"/>
        <v>18388.25</v>
      </c>
      <c r="N8" s="11">
        <f t="shared" si="0"/>
        <v>15519</v>
      </c>
      <c r="O8" s="11">
        <f t="shared" si="0"/>
        <v>4312</v>
      </c>
      <c r="P8" s="11">
        <f t="shared" si="0"/>
        <v>30969.5</v>
      </c>
      <c r="Q8" s="11">
        <f t="shared" si="0"/>
        <v>18388.25</v>
      </c>
      <c r="R8" s="18">
        <f t="shared" si="0"/>
        <v>75567.6875</v>
      </c>
      <c r="S8" s="45">
        <f t="shared" si="0"/>
        <v>-32243.0625</v>
      </c>
    </row>
    <row r="9" spans="1:94" s="2" customFormat="1" ht="17.25" x14ac:dyDescent="0.25">
      <c r="A9" s="156" t="s">
        <v>103</v>
      </c>
      <c r="B9" s="156"/>
      <c r="C9" s="19">
        <f t="shared" ref="C9:S9" si="1">SUM(C10:C34)</f>
        <v>42580.25</v>
      </c>
      <c r="D9" s="19">
        <f t="shared" si="1"/>
        <v>28488.5</v>
      </c>
      <c r="E9" s="19">
        <f t="shared" si="1"/>
        <v>14091.75</v>
      </c>
      <c r="F9" s="19">
        <f t="shared" si="1"/>
        <v>3728</v>
      </c>
      <c r="G9" s="19">
        <f t="shared" si="1"/>
        <v>22</v>
      </c>
      <c r="H9" s="19">
        <f t="shared" si="1"/>
        <v>70</v>
      </c>
      <c r="I9" s="19">
        <f t="shared" si="1"/>
        <v>108</v>
      </c>
      <c r="J9" s="19">
        <f t="shared" si="1"/>
        <v>7697</v>
      </c>
      <c r="K9" s="19">
        <f t="shared" si="1"/>
        <v>1893</v>
      </c>
      <c r="L9" s="19">
        <f t="shared" si="1"/>
        <v>17063.5</v>
      </c>
      <c r="M9" s="19">
        <f t="shared" si="1"/>
        <v>12090.75</v>
      </c>
      <c r="N9" s="9">
        <f t="shared" si="1"/>
        <v>7405</v>
      </c>
      <c r="O9" s="9">
        <f t="shared" si="1"/>
        <v>1893</v>
      </c>
      <c r="P9" s="9">
        <f t="shared" si="1"/>
        <v>16289.5</v>
      </c>
      <c r="Q9" s="9">
        <f t="shared" si="1"/>
        <v>12090.75</v>
      </c>
      <c r="R9" s="19">
        <f t="shared" si="1"/>
        <v>27677.762500000001</v>
      </c>
      <c r="S9" s="46">
        <f t="shared" si="1"/>
        <v>-14902.487499999999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s="3" customFormat="1" ht="17.25" x14ac:dyDescent="0.25">
      <c r="A10" s="22">
        <v>1</v>
      </c>
      <c r="B10" s="23" t="s">
        <v>26</v>
      </c>
      <c r="C10" s="24">
        <f t="shared" ref="C10" si="2">SUM(D10:E10)</f>
        <v>1376</v>
      </c>
      <c r="D10" s="25">
        <f t="shared" ref="D10" si="3">SUM(F10,J10,L10)</f>
        <v>1376</v>
      </c>
      <c r="E10" s="25">
        <f t="shared" ref="E10" si="4">SUM(I10,K10,M10)</f>
        <v>0</v>
      </c>
      <c r="F10" s="26">
        <v>310</v>
      </c>
      <c r="G10" s="26">
        <v>2</v>
      </c>
      <c r="H10" s="26">
        <v>6</v>
      </c>
      <c r="I10" s="26"/>
      <c r="J10" s="42">
        <v>292</v>
      </c>
      <c r="K10" s="42">
        <v>0</v>
      </c>
      <c r="L10" s="42">
        <v>774</v>
      </c>
      <c r="M10" s="42">
        <v>0</v>
      </c>
      <c r="N10" s="37">
        <v>605</v>
      </c>
      <c r="O10" s="37"/>
      <c r="P10" s="37">
        <v>973</v>
      </c>
      <c r="Q10" s="37"/>
      <c r="R10" s="42">
        <v>895</v>
      </c>
      <c r="S10" s="44">
        <f>+R10-C10</f>
        <v>-481</v>
      </c>
      <c r="T10" s="33">
        <f>+(G10+H10)</f>
        <v>8</v>
      </c>
      <c r="U10" s="33">
        <f>+T10-(T10*0.35)</f>
        <v>5.2</v>
      </c>
    </row>
    <row r="11" spans="1:94" s="3" customFormat="1" ht="17.25" x14ac:dyDescent="0.25">
      <c r="A11" s="22">
        <f>+A10+1</f>
        <v>2</v>
      </c>
      <c r="B11" s="23" t="s">
        <v>18</v>
      </c>
      <c r="C11" s="24">
        <f t="shared" ref="C11" si="5">SUM(D11:E11)</f>
        <v>1917</v>
      </c>
      <c r="D11" s="25">
        <f>SUM(F11,J11,L11)</f>
        <v>1917</v>
      </c>
      <c r="E11" s="25">
        <f>SUM(I11,K11,M11)</f>
        <v>0</v>
      </c>
      <c r="F11" s="26">
        <v>339</v>
      </c>
      <c r="G11" s="26">
        <v>2</v>
      </c>
      <c r="H11" s="26">
        <v>4</v>
      </c>
      <c r="I11" s="26"/>
      <c r="J11" s="42">
        <v>605</v>
      </c>
      <c r="K11" s="42">
        <v>0</v>
      </c>
      <c r="L11" s="42">
        <v>973</v>
      </c>
      <c r="M11" s="42">
        <v>0</v>
      </c>
      <c r="N11" s="37"/>
      <c r="O11" s="37"/>
      <c r="P11" s="37"/>
      <c r="Q11" s="37"/>
      <c r="R11" s="42">
        <f t="shared" ref="R11:R30" si="6">+C11-(C11*0.35)</f>
        <v>1246.0500000000002</v>
      </c>
      <c r="S11" s="44">
        <f t="shared" ref="S11:S74" si="7">+R11-C11</f>
        <v>-670.94999999999982</v>
      </c>
      <c r="T11" s="33">
        <f t="shared" ref="T11:T82" si="8">+(G11+H11)</f>
        <v>6</v>
      </c>
      <c r="U11" s="33">
        <f t="shared" ref="U11:U82" si="9">+T11-(T11*0.35)</f>
        <v>3.9000000000000004</v>
      </c>
    </row>
    <row r="12" spans="1:94" s="3" customFormat="1" ht="17.25" x14ac:dyDescent="0.25">
      <c r="A12" s="22">
        <f t="shared" ref="A12:A34" si="10">+A11+1</f>
        <v>3</v>
      </c>
      <c r="B12" s="23" t="s">
        <v>19</v>
      </c>
      <c r="C12" s="24">
        <f t="shared" ref="C12:C34" si="11">SUM(D12:E12)</f>
        <v>5480</v>
      </c>
      <c r="D12" s="25">
        <f t="shared" ref="D12:D34" si="12">SUM(F12,J12,L12)</f>
        <v>3609</v>
      </c>
      <c r="E12" s="25">
        <f t="shared" ref="E12:E32" si="13">SUM(I12,K12,M12)</f>
        <v>1871</v>
      </c>
      <c r="F12" s="26">
        <v>538</v>
      </c>
      <c r="G12" s="26">
        <v>1</v>
      </c>
      <c r="H12" s="26">
        <v>5</v>
      </c>
      <c r="I12" s="26">
        <v>96</v>
      </c>
      <c r="J12" s="42">
        <v>824</v>
      </c>
      <c r="K12" s="42">
        <v>247</v>
      </c>
      <c r="L12" s="42">
        <v>2247</v>
      </c>
      <c r="M12" s="42">
        <v>1528</v>
      </c>
      <c r="N12" s="37">
        <v>824</v>
      </c>
      <c r="O12" s="37">
        <v>247</v>
      </c>
      <c r="P12" s="37">
        <v>2247</v>
      </c>
      <c r="Q12" s="37">
        <v>1528</v>
      </c>
      <c r="R12" s="42">
        <f t="shared" si="6"/>
        <v>3562</v>
      </c>
      <c r="S12" s="44">
        <f t="shared" si="7"/>
        <v>-1918</v>
      </c>
      <c r="T12" s="33">
        <f t="shared" si="8"/>
        <v>6</v>
      </c>
      <c r="U12" s="33">
        <f t="shared" si="9"/>
        <v>3.9000000000000004</v>
      </c>
    </row>
    <row r="13" spans="1:94" s="3" customFormat="1" ht="17.25" x14ac:dyDescent="0.25">
      <c r="A13" s="22">
        <f t="shared" si="10"/>
        <v>4</v>
      </c>
      <c r="B13" s="23" t="s">
        <v>25</v>
      </c>
      <c r="C13" s="24">
        <f t="shared" ref="C13:C24" si="14">SUM(D13:E13)</f>
        <v>819</v>
      </c>
      <c r="D13" s="25">
        <f t="shared" ref="D13:D24" si="15">SUM(F13,J13,L13)</f>
        <v>480</v>
      </c>
      <c r="E13" s="25">
        <f t="shared" si="13"/>
        <v>339</v>
      </c>
      <c r="F13" s="26">
        <v>77</v>
      </c>
      <c r="G13" s="26">
        <v>1</v>
      </c>
      <c r="H13" s="26">
        <v>3</v>
      </c>
      <c r="I13" s="26"/>
      <c r="J13" s="42">
        <v>196</v>
      </c>
      <c r="K13" s="42">
        <v>0</v>
      </c>
      <c r="L13" s="42">
        <v>207</v>
      </c>
      <c r="M13" s="42">
        <v>339</v>
      </c>
      <c r="N13" s="38">
        <v>196</v>
      </c>
      <c r="O13" s="38"/>
      <c r="P13" s="38">
        <v>207</v>
      </c>
      <c r="Q13" s="38">
        <v>339</v>
      </c>
      <c r="R13" s="42">
        <f t="shared" ref="R13:R24" si="16">+C13-(C13*0.35)</f>
        <v>532.35</v>
      </c>
      <c r="S13" s="44">
        <f t="shared" si="7"/>
        <v>-286.64999999999998</v>
      </c>
      <c r="T13" s="33">
        <f t="shared" ref="T13:T24" si="17">+(G13+H13)</f>
        <v>4</v>
      </c>
      <c r="U13" s="33">
        <f t="shared" si="9"/>
        <v>2.6</v>
      </c>
    </row>
    <row r="14" spans="1:94" s="3" customFormat="1" ht="17.25" x14ac:dyDescent="0.25">
      <c r="A14" s="22">
        <f t="shared" si="10"/>
        <v>5</v>
      </c>
      <c r="B14" s="23" t="s">
        <v>32</v>
      </c>
      <c r="C14" s="24">
        <f t="shared" si="14"/>
        <v>918</v>
      </c>
      <c r="D14" s="25">
        <f t="shared" si="15"/>
        <v>918</v>
      </c>
      <c r="E14" s="25">
        <f t="shared" si="13"/>
        <v>0</v>
      </c>
      <c r="F14" s="26">
        <v>98</v>
      </c>
      <c r="G14" s="26">
        <v>1</v>
      </c>
      <c r="H14" s="26">
        <v>2</v>
      </c>
      <c r="I14" s="26"/>
      <c r="J14" s="42">
        <v>820</v>
      </c>
      <c r="K14" s="42">
        <v>0</v>
      </c>
      <c r="L14" s="42">
        <v>0</v>
      </c>
      <c r="M14" s="42">
        <v>0</v>
      </c>
      <c r="N14" s="37">
        <v>820</v>
      </c>
      <c r="O14" s="37"/>
      <c r="P14" s="37"/>
      <c r="Q14" s="37"/>
      <c r="R14" s="42">
        <f t="shared" si="16"/>
        <v>596.70000000000005</v>
      </c>
      <c r="S14" s="44">
        <f t="shared" si="7"/>
        <v>-321.29999999999995</v>
      </c>
      <c r="T14" s="33">
        <f t="shared" si="17"/>
        <v>3</v>
      </c>
      <c r="U14" s="33">
        <f t="shared" si="9"/>
        <v>1.9500000000000002</v>
      </c>
    </row>
    <row r="15" spans="1:94" s="3" customFormat="1" ht="17.25" x14ac:dyDescent="0.25">
      <c r="A15" s="22">
        <f t="shared" si="10"/>
        <v>6</v>
      </c>
      <c r="B15" s="23" t="s">
        <v>21</v>
      </c>
      <c r="C15" s="24">
        <f t="shared" si="14"/>
        <v>3042.25</v>
      </c>
      <c r="D15" s="25">
        <f t="shared" si="15"/>
        <v>1603</v>
      </c>
      <c r="E15" s="25">
        <f t="shared" ref="E15:E24" si="18">SUM(I15,K15,M15)</f>
        <v>1439.25</v>
      </c>
      <c r="F15" s="26">
        <v>90</v>
      </c>
      <c r="G15" s="26">
        <v>1</v>
      </c>
      <c r="H15" s="26">
        <v>3</v>
      </c>
      <c r="I15" s="26">
        <v>12</v>
      </c>
      <c r="J15" s="42">
        <v>244</v>
      </c>
      <c r="K15" s="42">
        <v>86</v>
      </c>
      <c r="L15" s="42">
        <v>1269</v>
      </c>
      <c r="M15" s="42">
        <v>1341.25</v>
      </c>
      <c r="N15" s="38">
        <v>244</v>
      </c>
      <c r="O15" s="37">
        <v>86</v>
      </c>
      <c r="P15" s="37">
        <v>1269</v>
      </c>
      <c r="Q15" s="37">
        <v>1341.25</v>
      </c>
      <c r="R15" s="42">
        <f t="shared" si="16"/>
        <v>1977.4625000000001</v>
      </c>
      <c r="S15" s="44">
        <f t="shared" si="7"/>
        <v>-1064.7874999999999</v>
      </c>
      <c r="T15" s="33">
        <f t="shared" si="17"/>
        <v>4</v>
      </c>
      <c r="U15" s="33">
        <f t="shared" si="9"/>
        <v>2.6</v>
      </c>
    </row>
    <row r="16" spans="1:94" s="3" customFormat="1" ht="17.25" x14ac:dyDescent="0.25">
      <c r="A16" s="22">
        <f t="shared" si="10"/>
        <v>7</v>
      </c>
      <c r="B16" s="23" t="s">
        <v>38</v>
      </c>
      <c r="C16" s="24">
        <f t="shared" si="14"/>
        <v>1257</v>
      </c>
      <c r="D16" s="25">
        <f t="shared" si="15"/>
        <v>1257</v>
      </c>
      <c r="E16" s="25">
        <f t="shared" si="18"/>
        <v>0</v>
      </c>
      <c r="F16" s="26">
        <v>54</v>
      </c>
      <c r="G16" s="26">
        <v>1</v>
      </c>
      <c r="H16" s="26">
        <v>2</v>
      </c>
      <c r="I16" s="26"/>
      <c r="J16" s="42">
        <v>168</v>
      </c>
      <c r="K16" s="42">
        <v>0</v>
      </c>
      <c r="L16" s="42">
        <v>1035</v>
      </c>
      <c r="M16" s="42">
        <v>0</v>
      </c>
      <c r="N16" s="37">
        <v>168</v>
      </c>
      <c r="O16" s="37">
        <v>0</v>
      </c>
      <c r="P16" s="37">
        <v>1035</v>
      </c>
      <c r="Q16" s="37">
        <v>0</v>
      </c>
      <c r="R16" s="42">
        <f t="shared" si="16"/>
        <v>817.05</v>
      </c>
      <c r="S16" s="44">
        <f t="shared" si="7"/>
        <v>-439.95000000000005</v>
      </c>
      <c r="T16" s="33">
        <f t="shared" si="17"/>
        <v>3</v>
      </c>
      <c r="U16" s="33">
        <f t="shared" si="9"/>
        <v>1.9500000000000002</v>
      </c>
    </row>
    <row r="17" spans="1:21" s="3" customFormat="1" ht="17.25" x14ac:dyDescent="0.25">
      <c r="A17" s="22">
        <f t="shared" si="10"/>
        <v>8</v>
      </c>
      <c r="B17" s="23" t="s">
        <v>30</v>
      </c>
      <c r="C17" s="24">
        <f t="shared" si="14"/>
        <v>470</v>
      </c>
      <c r="D17" s="25">
        <f t="shared" si="15"/>
        <v>470</v>
      </c>
      <c r="E17" s="25">
        <f t="shared" si="18"/>
        <v>0</v>
      </c>
      <c r="F17" s="26">
        <v>84</v>
      </c>
      <c r="G17" s="26">
        <v>1</v>
      </c>
      <c r="H17" s="26">
        <v>2</v>
      </c>
      <c r="I17" s="26"/>
      <c r="J17" s="42">
        <v>386</v>
      </c>
      <c r="K17" s="42">
        <v>0</v>
      </c>
      <c r="L17" s="42">
        <v>0</v>
      </c>
      <c r="M17" s="42">
        <v>0</v>
      </c>
      <c r="N17" s="37">
        <v>386</v>
      </c>
      <c r="O17" s="37">
        <v>0</v>
      </c>
      <c r="P17" s="37">
        <v>0</v>
      </c>
      <c r="Q17" s="37">
        <v>0</v>
      </c>
      <c r="R17" s="42">
        <f t="shared" si="16"/>
        <v>305.5</v>
      </c>
      <c r="S17" s="44">
        <f t="shared" si="7"/>
        <v>-164.5</v>
      </c>
      <c r="T17" s="33">
        <f t="shared" si="17"/>
        <v>3</v>
      </c>
      <c r="U17" s="33">
        <f t="shared" si="9"/>
        <v>1.9500000000000002</v>
      </c>
    </row>
    <row r="18" spans="1:21" s="3" customFormat="1" ht="17.25" x14ac:dyDescent="0.25">
      <c r="A18" s="22">
        <f t="shared" si="10"/>
        <v>9</v>
      </c>
      <c r="B18" s="23" t="s">
        <v>29</v>
      </c>
      <c r="C18" s="24">
        <f t="shared" si="14"/>
        <v>894</v>
      </c>
      <c r="D18" s="25">
        <f t="shared" si="15"/>
        <v>894</v>
      </c>
      <c r="E18" s="25">
        <f t="shared" si="18"/>
        <v>0</v>
      </c>
      <c r="F18" s="26">
        <v>69</v>
      </c>
      <c r="G18" s="26">
        <v>1</v>
      </c>
      <c r="H18" s="26">
        <v>2</v>
      </c>
      <c r="I18" s="26"/>
      <c r="J18" s="42">
        <v>164</v>
      </c>
      <c r="K18" s="42">
        <v>0</v>
      </c>
      <c r="L18" s="42">
        <v>661</v>
      </c>
      <c r="M18" s="42">
        <v>0</v>
      </c>
      <c r="N18" s="37">
        <v>164</v>
      </c>
      <c r="O18" s="37"/>
      <c r="P18" s="37">
        <v>661</v>
      </c>
      <c r="Q18" s="37">
        <v>0</v>
      </c>
      <c r="R18" s="42">
        <f t="shared" si="16"/>
        <v>581.1</v>
      </c>
      <c r="S18" s="44">
        <f t="shared" si="7"/>
        <v>-312.89999999999998</v>
      </c>
      <c r="T18" s="33">
        <f t="shared" si="17"/>
        <v>3</v>
      </c>
      <c r="U18" s="33">
        <f t="shared" si="9"/>
        <v>1.9500000000000002</v>
      </c>
    </row>
    <row r="19" spans="1:21" s="3" customFormat="1" ht="17.25" x14ac:dyDescent="0.25">
      <c r="A19" s="22">
        <f t="shared" si="10"/>
        <v>10</v>
      </c>
      <c r="B19" s="23" t="s">
        <v>34</v>
      </c>
      <c r="C19" s="24">
        <f t="shared" si="14"/>
        <v>166</v>
      </c>
      <c r="D19" s="25">
        <f t="shared" si="15"/>
        <v>166</v>
      </c>
      <c r="E19" s="25">
        <f t="shared" si="18"/>
        <v>0</v>
      </c>
      <c r="F19" s="26">
        <v>114</v>
      </c>
      <c r="G19" s="26"/>
      <c r="H19" s="26">
        <v>1</v>
      </c>
      <c r="I19" s="26"/>
      <c r="J19" s="42">
        <v>52</v>
      </c>
      <c r="K19" s="42">
        <v>0</v>
      </c>
      <c r="L19" s="42">
        <v>0</v>
      </c>
      <c r="M19" s="42">
        <v>0</v>
      </c>
      <c r="N19" s="38">
        <v>52</v>
      </c>
      <c r="O19" s="37"/>
      <c r="P19" s="37"/>
      <c r="Q19" s="37"/>
      <c r="R19" s="42">
        <f t="shared" si="16"/>
        <v>107.9</v>
      </c>
      <c r="S19" s="44">
        <f t="shared" si="7"/>
        <v>-58.099999999999994</v>
      </c>
      <c r="T19" s="33">
        <f t="shared" si="17"/>
        <v>1</v>
      </c>
      <c r="U19" s="33">
        <f t="shared" si="9"/>
        <v>0.65</v>
      </c>
    </row>
    <row r="20" spans="1:21" s="3" customFormat="1" ht="17.25" x14ac:dyDescent="0.25">
      <c r="A20" s="22">
        <f t="shared" si="10"/>
        <v>11</v>
      </c>
      <c r="B20" s="23" t="s">
        <v>22</v>
      </c>
      <c r="C20" s="24">
        <f t="shared" si="14"/>
        <v>338</v>
      </c>
      <c r="D20" s="25">
        <f t="shared" si="15"/>
        <v>274</v>
      </c>
      <c r="E20" s="25">
        <f t="shared" si="18"/>
        <v>64</v>
      </c>
      <c r="F20" s="26">
        <v>134</v>
      </c>
      <c r="G20" s="26">
        <v>1</v>
      </c>
      <c r="H20" s="26">
        <v>4</v>
      </c>
      <c r="I20" s="26"/>
      <c r="J20" s="42">
        <v>140</v>
      </c>
      <c r="K20" s="42">
        <v>64</v>
      </c>
      <c r="L20" s="42">
        <v>0</v>
      </c>
      <c r="M20" s="42">
        <v>0</v>
      </c>
      <c r="N20" s="38">
        <v>140</v>
      </c>
      <c r="O20" s="37">
        <f>204-140</f>
        <v>64</v>
      </c>
      <c r="P20" s="37"/>
      <c r="Q20" s="37"/>
      <c r="R20" s="42">
        <f t="shared" si="16"/>
        <v>219.7</v>
      </c>
      <c r="S20" s="44">
        <f t="shared" si="7"/>
        <v>-118.30000000000001</v>
      </c>
      <c r="T20" s="33">
        <f t="shared" si="17"/>
        <v>5</v>
      </c>
      <c r="U20" s="33">
        <f t="shared" si="9"/>
        <v>3.25</v>
      </c>
    </row>
    <row r="21" spans="1:21" s="3" customFormat="1" ht="17.25" x14ac:dyDescent="0.25">
      <c r="A21" s="22">
        <f t="shared" si="10"/>
        <v>12</v>
      </c>
      <c r="B21" s="23" t="s">
        <v>23</v>
      </c>
      <c r="C21" s="24">
        <f t="shared" si="14"/>
        <v>4857.5</v>
      </c>
      <c r="D21" s="25">
        <f t="shared" si="15"/>
        <v>1764</v>
      </c>
      <c r="E21" s="25">
        <f t="shared" si="18"/>
        <v>3093.5</v>
      </c>
      <c r="F21" s="26">
        <v>200</v>
      </c>
      <c r="G21" s="26">
        <v>1</v>
      </c>
      <c r="H21" s="26">
        <v>4</v>
      </c>
      <c r="I21" s="26"/>
      <c r="J21" s="42">
        <v>614</v>
      </c>
      <c r="K21" s="42">
        <v>126</v>
      </c>
      <c r="L21" s="42">
        <v>950</v>
      </c>
      <c r="M21" s="42">
        <v>2967.5</v>
      </c>
      <c r="N21" s="37">
        <v>614</v>
      </c>
      <c r="O21" s="37">
        <v>126</v>
      </c>
      <c r="P21" s="37">
        <v>950</v>
      </c>
      <c r="Q21" s="37">
        <v>2967.5</v>
      </c>
      <c r="R21" s="42">
        <f t="shared" si="16"/>
        <v>3157.375</v>
      </c>
      <c r="S21" s="44">
        <f t="shared" si="7"/>
        <v>-1700.125</v>
      </c>
      <c r="T21" s="33">
        <f t="shared" si="17"/>
        <v>5</v>
      </c>
      <c r="U21" s="33">
        <f t="shared" si="9"/>
        <v>3.25</v>
      </c>
    </row>
    <row r="22" spans="1:21" s="3" customFormat="1" ht="17.25" x14ac:dyDescent="0.25">
      <c r="A22" s="22">
        <f t="shared" si="10"/>
        <v>13</v>
      </c>
      <c r="B22" s="23" t="s">
        <v>33</v>
      </c>
      <c r="C22" s="24">
        <f t="shared" si="14"/>
        <v>2446.5</v>
      </c>
      <c r="D22" s="25">
        <f t="shared" si="15"/>
        <v>1975.5</v>
      </c>
      <c r="E22" s="25">
        <f t="shared" si="18"/>
        <v>471</v>
      </c>
      <c r="F22" s="26">
        <v>142</v>
      </c>
      <c r="G22" s="26">
        <v>1</v>
      </c>
      <c r="H22" s="26">
        <v>2</v>
      </c>
      <c r="I22" s="26"/>
      <c r="J22" s="42">
        <v>406</v>
      </c>
      <c r="K22" s="42">
        <v>58</v>
      </c>
      <c r="L22" s="42">
        <v>1427.5</v>
      </c>
      <c r="M22" s="42">
        <v>413</v>
      </c>
      <c r="N22" s="37">
        <v>406</v>
      </c>
      <c r="O22" s="37">
        <v>58</v>
      </c>
      <c r="P22" s="37">
        <v>1427.5</v>
      </c>
      <c r="Q22" s="37">
        <v>413</v>
      </c>
      <c r="R22" s="42">
        <f t="shared" si="16"/>
        <v>1590.2249999999999</v>
      </c>
      <c r="S22" s="44">
        <f t="shared" si="7"/>
        <v>-856.27500000000009</v>
      </c>
      <c r="T22" s="33">
        <f t="shared" si="17"/>
        <v>3</v>
      </c>
      <c r="U22" s="33">
        <f t="shared" si="9"/>
        <v>1.9500000000000002</v>
      </c>
    </row>
    <row r="23" spans="1:21" s="3" customFormat="1" ht="17.25" x14ac:dyDescent="0.25">
      <c r="A23" s="22">
        <f t="shared" si="10"/>
        <v>14</v>
      </c>
      <c r="B23" s="23" t="s">
        <v>28</v>
      </c>
      <c r="C23" s="24">
        <f t="shared" si="14"/>
        <v>4972</v>
      </c>
      <c r="D23" s="25">
        <f t="shared" si="15"/>
        <v>4972</v>
      </c>
      <c r="E23" s="25">
        <f t="shared" si="18"/>
        <v>0</v>
      </c>
      <c r="F23" s="26">
        <v>320</v>
      </c>
      <c r="G23" s="26">
        <v>1</v>
      </c>
      <c r="H23" s="26">
        <v>4</v>
      </c>
      <c r="I23" s="26"/>
      <c r="J23" s="42">
        <v>592</v>
      </c>
      <c r="K23" s="42">
        <v>0</v>
      </c>
      <c r="L23" s="42">
        <v>4060</v>
      </c>
      <c r="M23" s="42">
        <v>0</v>
      </c>
      <c r="N23" s="37">
        <v>592</v>
      </c>
      <c r="O23" s="37">
        <v>0</v>
      </c>
      <c r="P23" s="37">
        <v>4060</v>
      </c>
      <c r="Q23" s="37">
        <v>0</v>
      </c>
      <c r="R23" s="42">
        <f t="shared" si="16"/>
        <v>3231.8</v>
      </c>
      <c r="S23" s="44">
        <f t="shared" si="7"/>
        <v>-1740.1999999999998</v>
      </c>
      <c r="T23" s="33">
        <f t="shared" si="17"/>
        <v>5</v>
      </c>
      <c r="U23" s="33">
        <f t="shared" si="9"/>
        <v>3.25</v>
      </c>
    </row>
    <row r="24" spans="1:21" s="3" customFormat="1" ht="31.5" x14ac:dyDescent="0.25">
      <c r="A24" s="22">
        <f t="shared" si="10"/>
        <v>15</v>
      </c>
      <c r="B24" s="23" t="s">
        <v>27</v>
      </c>
      <c r="C24" s="24">
        <f t="shared" si="14"/>
        <v>234</v>
      </c>
      <c r="D24" s="25">
        <f t="shared" si="15"/>
        <v>234</v>
      </c>
      <c r="E24" s="25">
        <f t="shared" si="18"/>
        <v>0</v>
      </c>
      <c r="F24" s="26">
        <v>142</v>
      </c>
      <c r="G24" s="26">
        <v>1</v>
      </c>
      <c r="H24" s="26">
        <v>3</v>
      </c>
      <c r="I24" s="26"/>
      <c r="J24" s="42">
        <v>92</v>
      </c>
      <c r="K24" s="42">
        <v>0</v>
      </c>
      <c r="L24" s="42">
        <v>0</v>
      </c>
      <c r="M24" s="42">
        <v>0</v>
      </c>
      <c r="N24" s="37">
        <v>92</v>
      </c>
      <c r="O24" s="37"/>
      <c r="P24" s="37"/>
      <c r="Q24" s="37"/>
      <c r="R24" s="42">
        <f t="shared" si="16"/>
        <v>152.10000000000002</v>
      </c>
      <c r="S24" s="44">
        <f t="shared" si="7"/>
        <v>-81.899999999999977</v>
      </c>
      <c r="T24" s="33">
        <f t="shared" si="17"/>
        <v>4</v>
      </c>
      <c r="U24" s="33">
        <f t="shared" si="9"/>
        <v>2.6</v>
      </c>
    </row>
    <row r="25" spans="1:21" s="3" customFormat="1" ht="17.25" x14ac:dyDescent="0.25">
      <c r="A25" s="22">
        <f t="shared" si="10"/>
        <v>16</v>
      </c>
      <c r="B25" s="23" t="s">
        <v>20</v>
      </c>
      <c r="C25" s="24">
        <f t="shared" si="11"/>
        <v>911</v>
      </c>
      <c r="D25" s="25">
        <f t="shared" si="12"/>
        <v>445</v>
      </c>
      <c r="E25" s="25">
        <f t="shared" si="13"/>
        <v>466</v>
      </c>
      <c r="F25" s="26">
        <v>130</v>
      </c>
      <c r="G25" s="26">
        <v>0</v>
      </c>
      <c r="H25" s="26">
        <v>3</v>
      </c>
      <c r="I25" s="26"/>
      <c r="J25" s="42">
        <v>315</v>
      </c>
      <c r="K25" s="42">
        <v>466</v>
      </c>
      <c r="L25" s="42">
        <v>0</v>
      </c>
      <c r="M25" s="42">
        <v>0</v>
      </c>
      <c r="N25" s="37">
        <v>315</v>
      </c>
      <c r="O25" s="37">
        <v>466</v>
      </c>
      <c r="P25" s="37"/>
      <c r="Q25" s="37"/>
      <c r="R25" s="42">
        <f t="shared" si="6"/>
        <v>592.15000000000009</v>
      </c>
      <c r="S25" s="44">
        <f t="shared" si="7"/>
        <v>-318.84999999999991</v>
      </c>
      <c r="T25" s="33">
        <f t="shared" si="8"/>
        <v>3</v>
      </c>
      <c r="U25" s="33">
        <f t="shared" si="9"/>
        <v>1.9500000000000002</v>
      </c>
    </row>
    <row r="26" spans="1:21" s="3" customFormat="1" ht="17.25" x14ac:dyDescent="0.25">
      <c r="A26" s="22">
        <f t="shared" si="10"/>
        <v>17</v>
      </c>
      <c r="B26" s="23" t="s">
        <v>35</v>
      </c>
      <c r="C26" s="24">
        <f t="shared" ref="C26:C29" si="19">SUM(D26:E26)</f>
        <v>3070</v>
      </c>
      <c r="D26" s="25">
        <f t="shared" ref="D26:D29" si="20">SUM(F26,J26,L26)</f>
        <v>3070</v>
      </c>
      <c r="E26" s="25">
        <f t="shared" si="13"/>
        <v>0</v>
      </c>
      <c r="F26" s="26">
        <v>191</v>
      </c>
      <c r="G26" s="26">
        <v>1</v>
      </c>
      <c r="H26" s="26">
        <v>5</v>
      </c>
      <c r="I26" s="26"/>
      <c r="J26" s="42">
        <v>920</v>
      </c>
      <c r="K26" s="42">
        <v>0</v>
      </c>
      <c r="L26" s="42">
        <v>1959</v>
      </c>
      <c r="M26" s="42">
        <v>0</v>
      </c>
      <c r="N26" s="37">
        <v>920</v>
      </c>
      <c r="O26" s="37"/>
      <c r="P26" s="37">
        <v>1959</v>
      </c>
      <c r="Q26" s="37"/>
      <c r="R26" s="42">
        <f t="shared" ref="R26:R29" si="21">+C26-(C26*0.35)</f>
        <v>1995.5</v>
      </c>
      <c r="S26" s="44">
        <f t="shared" si="7"/>
        <v>-1074.5</v>
      </c>
      <c r="T26" s="33">
        <f t="shared" ref="T26:T29" si="22">+(G26+H26)</f>
        <v>6</v>
      </c>
      <c r="U26" s="33">
        <f t="shared" si="9"/>
        <v>3.9000000000000004</v>
      </c>
    </row>
    <row r="27" spans="1:21" s="3" customFormat="1" ht="17.25" x14ac:dyDescent="0.25">
      <c r="A27" s="22">
        <f t="shared" si="10"/>
        <v>18</v>
      </c>
      <c r="B27" s="23" t="s">
        <v>36</v>
      </c>
      <c r="C27" s="24">
        <f t="shared" si="19"/>
        <v>7788</v>
      </c>
      <c r="D27" s="25">
        <f t="shared" si="20"/>
        <v>1440</v>
      </c>
      <c r="E27" s="25">
        <f t="shared" si="13"/>
        <v>6348</v>
      </c>
      <c r="F27" s="26">
        <v>85</v>
      </c>
      <c r="G27" s="26">
        <v>1</v>
      </c>
      <c r="H27" s="26">
        <v>3</v>
      </c>
      <c r="I27" s="26"/>
      <c r="J27" s="42">
        <v>240</v>
      </c>
      <c r="K27" s="42">
        <v>846</v>
      </c>
      <c r="L27" s="42">
        <v>1115</v>
      </c>
      <c r="M27" s="42">
        <v>5502</v>
      </c>
      <c r="N27" s="37">
        <v>240</v>
      </c>
      <c r="O27" s="37">
        <v>846</v>
      </c>
      <c r="P27" s="37">
        <v>1115</v>
      </c>
      <c r="Q27" s="37">
        <v>5502</v>
      </c>
      <c r="R27" s="42">
        <f t="shared" si="21"/>
        <v>5062.2000000000007</v>
      </c>
      <c r="S27" s="44">
        <f t="shared" si="7"/>
        <v>-2725.7999999999993</v>
      </c>
      <c r="T27" s="33">
        <f t="shared" si="22"/>
        <v>4</v>
      </c>
      <c r="U27" s="33">
        <f t="shared" si="9"/>
        <v>2.6</v>
      </c>
    </row>
    <row r="28" spans="1:21" s="3" customFormat="1" ht="17.25" x14ac:dyDescent="0.25">
      <c r="A28" s="22">
        <f t="shared" si="10"/>
        <v>19</v>
      </c>
      <c r="B28" s="23" t="s">
        <v>37</v>
      </c>
      <c r="C28" s="24">
        <f t="shared" si="19"/>
        <v>115</v>
      </c>
      <c r="D28" s="25">
        <f t="shared" si="20"/>
        <v>115</v>
      </c>
      <c r="E28" s="25">
        <f t="shared" si="13"/>
        <v>0</v>
      </c>
      <c r="F28" s="26">
        <v>115</v>
      </c>
      <c r="G28" s="26">
        <v>1</v>
      </c>
      <c r="H28" s="26">
        <v>2</v>
      </c>
      <c r="I28" s="26"/>
      <c r="J28" s="42">
        <v>0</v>
      </c>
      <c r="K28" s="42">
        <v>0</v>
      </c>
      <c r="L28" s="42">
        <v>0</v>
      </c>
      <c r="M28" s="42">
        <v>0</v>
      </c>
      <c r="N28" s="37"/>
      <c r="O28" s="37"/>
      <c r="P28" s="37"/>
      <c r="Q28" s="37"/>
      <c r="R28" s="42">
        <f t="shared" si="21"/>
        <v>74.75</v>
      </c>
      <c r="S28" s="44">
        <f t="shared" si="7"/>
        <v>-40.25</v>
      </c>
      <c r="T28" s="33">
        <f t="shared" si="22"/>
        <v>3</v>
      </c>
      <c r="U28" s="33">
        <f t="shared" si="9"/>
        <v>1.9500000000000002</v>
      </c>
    </row>
    <row r="29" spans="1:21" s="3" customFormat="1" ht="17.25" x14ac:dyDescent="0.25">
      <c r="A29" s="22">
        <f t="shared" si="10"/>
        <v>20</v>
      </c>
      <c r="B29" s="23" t="s">
        <v>31</v>
      </c>
      <c r="C29" s="24">
        <f t="shared" si="19"/>
        <v>670</v>
      </c>
      <c r="D29" s="25">
        <f t="shared" si="20"/>
        <v>670</v>
      </c>
      <c r="E29" s="25">
        <f t="shared" si="13"/>
        <v>0</v>
      </c>
      <c r="F29" s="26">
        <v>76</v>
      </c>
      <c r="G29" s="26">
        <v>1</v>
      </c>
      <c r="H29" s="26">
        <v>2</v>
      </c>
      <c r="I29" s="26"/>
      <c r="J29" s="42">
        <v>208</v>
      </c>
      <c r="K29" s="42">
        <v>0</v>
      </c>
      <c r="L29" s="42">
        <v>386</v>
      </c>
      <c r="M29" s="42">
        <v>0</v>
      </c>
      <c r="N29" s="37">
        <v>208</v>
      </c>
      <c r="O29" s="37">
        <v>0</v>
      </c>
      <c r="P29" s="37">
        <v>386</v>
      </c>
      <c r="Q29" s="37">
        <v>0</v>
      </c>
      <c r="R29" s="42">
        <f t="shared" si="21"/>
        <v>435.5</v>
      </c>
      <c r="S29" s="44">
        <f t="shared" si="7"/>
        <v>-234.5</v>
      </c>
      <c r="T29" s="33">
        <f t="shared" si="22"/>
        <v>3</v>
      </c>
      <c r="U29" s="33">
        <f t="shared" si="9"/>
        <v>1.9500000000000002</v>
      </c>
    </row>
    <row r="30" spans="1:21" s="3" customFormat="1" ht="17.25" x14ac:dyDescent="0.25">
      <c r="A30" s="22">
        <f t="shared" si="10"/>
        <v>21</v>
      </c>
      <c r="B30" s="23" t="s">
        <v>24</v>
      </c>
      <c r="C30" s="24">
        <f t="shared" si="11"/>
        <v>562</v>
      </c>
      <c r="D30" s="25">
        <f t="shared" si="12"/>
        <v>562</v>
      </c>
      <c r="E30" s="25">
        <f t="shared" si="13"/>
        <v>0</v>
      </c>
      <c r="F30" s="26">
        <v>143</v>
      </c>
      <c r="G30" s="26">
        <v>1</v>
      </c>
      <c r="H30" s="26">
        <v>4</v>
      </c>
      <c r="I30" s="26"/>
      <c r="J30" s="42">
        <v>419</v>
      </c>
      <c r="K30" s="42">
        <v>0</v>
      </c>
      <c r="L30" s="42">
        <v>0</v>
      </c>
      <c r="M30" s="42">
        <v>0</v>
      </c>
      <c r="N30" s="37">
        <v>419</v>
      </c>
      <c r="O30" s="37"/>
      <c r="P30" s="37"/>
      <c r="Q30" s="37"/>
      <c r="R30" s="42">
        <f t="shared" si="6"/>
        <v>365.3</v>
      </c>
      <c r="S30" s="44">
        <f t="shared" si="7"/>
        <v>-196.7</v>
      </c>
      <c r="T30" s="33">
        <f t="shared" si="8"/>
        <v>5</v>
      </c>
      <c r="U30" s="33">
        <f t="shared" si="9"/>
        <v>3.25</v>
      </c>
    </row>
    <row r="31" spans="1:21" s="3" customFormat="1" ht="17.25" x14ac:dyDescent="0.25">
      <c r="A31" s="22">
        <f t="shared" si="10"/>
        <v>22</v>
      </c>
      <c r="B31" s="23" t="s">
        <v>6</v>
      </c>
      <c r="C31" s="24">
        <f t="shared" ref="C31:C32" si="23">SUM(D31:E31)</f>
        <v>277</v>
      </c>
      <c r="D31" s="25">
        <f t="shared" ref="D31:D32" si="24">SUM(F31,J31,L31)</f>
        <v>277</v>
      </c>
      <c r="E31" s="25">
        <f t="shared" si="13"/>
        <v>0</v>
      </c>
      <c r="F31" s="26">
        <f>11+266</f>
        <v>277</v>
      </c>
      <c r="G31" s="26">
        <v>1</v>
      </c>
      <c r="H31" s="26">
        <v>4</v>
      </c>
      <c r="I31" s="26"/>
      <c r="J31" s="42">
        <v>0</v>
      </c>
      <c r="K31" s="42"/>
      <c r="L31" s="42"/>
      <c r="M31" s="42"/>
      <c r="N31" s="37"/>
      <c r="O31" s="37"/>
      <c r="P31" s="37"/>
      <c r="Q31" s="37"/>
      <c r="R31" s="42">
        <f t="shared" ref="R31" si="25">+C31-(C31*0.35)</f>
        <v>180.05</v>
      </c>
      <c r="S31" s="44">
        <f t="shared" si="7"/>
        <v>-96.949999999999989</v>
      </c>
      <c r="T31" s="33">
        <f t="shared" ref="T31:T32" si="26">+(G31+H31)</f>
        <v>5</v>
      </c>
      <c r="U31" s="33">
        <f t="shared" si="9"/>
        <v>3.25</v>
      </c>
    </row>
    <row r="32" spans="1:21" s="4" customFormat="1" ht="17.25" x14ac:dyDescent="0.25">
      <c r="A32" s="22">
        <f t="shared" si="10"/>
        <v>23</v>
      </c>
      <c r="B32" s="27" t="s">
        <v>101</v>
      </c>
      <c r="C32" s="28">
        <f t="shared" si="23"/>
        <v>0</v>
      </c>
      <c r="D32" s="29">
        <f t="shared" si="24"/>
        <v>0</v>
      </c>
      <c r="E32" s="29">
        <f t="shared" si="13"/>
        <v>0</v>
      </c>
      <c r="F32" s="30"/>
      <c r="G32" s="30"/>
      <c r="H32" s="30"/>
      <c r="I32" s="30"/>
      <c r="J32" s="28"/>
      <c r="K32" s="28"/>
      <c r="L32" s="28"/>
      <c r="M32" s="28"/>
      <c r="N32" s="39"/>
      <c r="O32" s="39"/>
      <c r="P32" s="39"/>
      <c r="Q32" s="39"/>
      <c r="R32" s="28"/>
      <c r="S32" s="47"/>
      <c r="T32" s="33">
        <f t="shared" si="26"/>
        <v>0</v>
      </c>
      <c r="U32" s="33">
        <f t="shared" si="9"/>
        <v>0</v>
      </c>
    </row>
    <row r="33" spans="1:22" s="4" customFormat="1" ht="17.25" x14ac:dyDescent="0.25">
      <c r="A33" s="22">
        <f t="shared" si="10"/>
        <v>24</v>
      </c>
      <c r="B33" s="27" t="s">
        <v>100</v>
      </c>
      <c r="C33" s="28">
        <f t="shared" si="11"/>
        <v>0</v>
      </c>
      <c r="D33" s="29">
        <f t="shared" si="12"/>
        <v>0</v>
      </c>
      <c r="E33" s="29">
        <f>SUM(I33,K33,M33)</f>
        <v>0</v>
      </c>
      <c r="F33" s="30"/>
      <c r="G33" s="30"/>
      <c r="H33" s="30"/>
      <c r="I33" s="30"/>
      <c r="J33" s="28"/>
      <c r="K33" s="28"/>
      <c r="L33" s="28"/>
      <c r="M33" s="28"/>
      <c r="N33" s="39"/>
      <c r="O33" s="39"/>
      <c r="P33" s="39"/>
      <c r="Q33" s="39"/>
      <c r="R33" s="28"/>
      <c r="S33" s="47"/>
      <c r="T33" s="33">
        <f t="shared" si="8"/>
        <v>0</v>
      </c>
      <c r="U33" s="33">
        <f t="shared" si="9"/>
        <v>0</v>
      </c>
    </row>
    <row r="34" spans="1:22" s="4" customFormat="1" ht="17.25" x14ac:dyDescent="0.25">
      <c r="A34" s="22">
        <f t="shared" si="10"/>
        <v>25</v>
      </c>
      <c r="B34" s="27" t="s">
        <v>102</v>
      </c>
      <c r="C34" s="28">
        <f t="shared" si="11"/>
        <v>0</v>
      </c>
      <c r="D34" s="29">
        <f t="shared" si="12"/>
        <v>0</v>
      </c>
      <c r="E34" s="29">
        <f t="shared" ref="E34" si="27">SUM(I34,K34,M34)</f>
        <v>0</v>
      </c>
      <c r="F34" s="30"/>
      <c r="G34" s="30"/>
      <c r="H34" s="30"/>
      <c r="I34" s="30"/>
      <c r="J34" s="28"/>
      <c r="K34" s="28"/>
      <c r="L34" s="28"/>
      <c r="M34" s="28"/>
      <c r="N34" s="39"/>
      <c r="O34" s="39"/>
      <c r="P34" s="39"/>
      <c r="Q34" s="39"/>
      <c r="R34" s="28"/>
      <c r="S34" s="47"/>
      <c r="T34" s="33">
        <f t="shared" si="8"/>
        <v>0</v>
      </c>
      <c r="U34" s="33">
        <f t="shared" si="9"/>
        <v>0</v>
      </c>
    </row>
    <row r="35" spans="1:22" s="3" customFormat="1" ht="17.25" x14ac:dyDescent="0.25">
      <c r="A35" s="156" t="s">
        <v>104</v>
      </c>
      <c r="B35" s="156"/>
      <c r="C35" s="19">
        <f t="shared" ref="C35:S35" si="28">+C36+C47</f>
        <v>28825.5</v>
      </c>
      <c r="D35" s="19">
        <f t="shared" si="28"/>
        <v>27426</v>
      </c>
      <c r="E35" s="19">
        <f t="shared" si="28"/>
        <v>1399.5</v>
      </c>
      <c r="F35" s="19">
        <f t="shared" si="28"/>
        <v>1498</v>
      </c>
      <c r="G35" s="19">
        <f t="shared" si="28"/>
        <v>10</v>
      </c>
      <c r="H35" s="19">
        <f t="shared" si="28"/>
        <v>28</v>
      </c>
      <c r="I35" s="19">
        <f t="shared" si="28"/>
        <v>17</v>
      </c>
      <c r="J35" s="19">
        <f t="shared" si="28"/>
        <v>5161</v>
      </c>
      <c r="K35" s="19">
        <f t="shared" si="28"/>
        <v>75</v>
      </c>
      <c r="L35" s="19">
        <f t="shared" si="28"/>
        <v>20767</v>
      </c>
      <c r="M35" s="19">
        <f t="shared" si="28"/>
        <v>1307.5</v>
      </c>
      <c r="N35" s="9">
        <f t="shared" si="28"/>
        <v>5644</v>
      </c>
      <c r="O35" s="9">
        <f t="shared" si="28"/>
        <v>70</v>
      </c>
      <c r="P35" s="9">
        <f t="shared" si="28"/>
        <v>10977</v>
      </c>
      <c r="Q35" s="9">
        <f t="shared" si="28"/>
        <v>1307.5</v>
      </c>
      <c r="R35" s="19">
        <f t="shared" si="28"/>
        <v>22481.225000000002</v>
      </c>
      <c r="S35" s="46">
        <f t="shared" si="28"/>
        <v>-6344.2750000000005</v>
      </c>
      <c r="T35" s="33">
        <f t="shared" si="8"/>
        <v>38</v>
      </c>
      <c r="U35" s="33">
        <f t="shared" si="9"/>
        <v>24.700000000000003</v>
      </c>
    </row>
    <row r="36" spans="1:22" ht="17.25" x14ac:dyDescent="0.25">
      <c r="A36" s="159" t="s">
        <v>110</v>
      </c>
      <c r="B36" s="159"/>
      <c r="C36" s="20">
        <f t="shared" ref="C36:S36" si="29">SUM(C37:C46)</f>
        <v>27566.5</v>
      </c>
      <c r="D36" s="20">
        <f t="shared" si="29"/>
        <v>26172</v>
      </c>
      <c r="E36" s="20">
        <f t="shared" si="29"/>
        <v>1394.5</v>
      </c>
      <c r="F36" s="20">
        <f t="shared" si="29"/>
        <v>1203</v>
      </c>
      <c r="G36" s="20">
        <f t="shared" si="29"/>
        <v>6</v>
      </c>
      <c r="H36" s="20">
        <f t="shared" si="29"/>
        <v>18</v>
      </c>
      <c r="I36" s="20">
        <f t="shared" si="29"/>
        <v>17</v>
      </c>
      <c r="J36" s="20">
        <f t="shared" si="29"/>
        <v>4409</v>
      </c>
      <c r="K36" s="20">
        <f t="shared" si="29"/>
        <v>70</v>
      </c>
      <c r="L36" s="20">
        <f t="shared" si="29"/>
        <v>20560</v>
      </c>
      <c r="M36" s="20">
        <f t="shared" si="29"/>
        <v>1307.5</v>
      </c>
      <c r="N36" s="10">
        <f t="shared" si="29"/>
        <v>4903</v>
      </c>
      <c r="O36" s="10">
        <f t="shared" si="29"/>
        <v>70</v>
      </c>
      <c r="P36" s="10">
        <f t="shared" si="29"/>
        <v>10770</v>
      </c>
      <c r="Q36" s="10">
        <f t="shared" si="29"/>
        <v>1307.5</v>
      </c>
      <c r="R36" s="20">
        <f t="shared" si="29"/>
        <v>21683.025000000001</v>
      </c>
      <c r="S36" s="48">
        <f t="shared" si="29"/>
        <v>-5883.4750000000004</v>
      </c>
      <c r="T36" s="33">
        <f t="shared" si="8"/>
        <v>24</v>
      </c>
      <c r="U36" s="33">
        <f t="shared" si="9"/>
        <v>15.600000000000001</v>
      </c>
    </row>
    <row r="37" spans="1:22" s="3" customFormat="1" ht="17.25" x14ac:dyDescent="0.25">
      <c r="A37" s="22">
        <v>1</v>
      </c>
      <c r="B37" s="23" t="s">
        <v>41</v>
      </c>
      <c r="C37" s="24">
        <f t="shared" ref="C37:C39" si="30">SUM(D37:E37)</f>
        <v>1689</v>
      </c>
      <c r="D37" s="25">
        <f t="shared" ref="D37:D39" si="31">SUM(F37,J37,L37)</f>
        <v>1689</v>
      </c>
      <c r="E37" s="25">
        <f>SUM(I37,K37,M37)</f>
        <v>0</v>
      </c>
      <c r="F37" s="26">
        <v>83</v>
      </c>
      <c r="G37" s="26">
        <v>1</v>
      </c>
      <c r="H37" s="26">
        <v>2</v>
      </c>
      <c r="I37" s="26"/>
      <c r="J37" s="42">
        <v>365</v>
      </c>
      <c r="K37" s="42">
        <v>0</v>
      </c>
      <c r="L37" s="42">
        <v>1241</v>
      </c>
      <c r="M37" s="42">
        <v>0</v>
      </c>
      <c r="N37" s="37">
        <v>859</v>
      </c>
      <c r="O37" s="37"/>
      <c r="P37" s="37">
        <v>760</v>
      </c>
      <c r="Q37" s="37"/>
      <c r="R37" s="42">
        <f t="shared" ref="R37:R102" si="32">+C37-(C37*0.35)</f>
        <v>1097.8499999999999</v>
      </c>
      <c r="S37" s="44">
        <f t="shared" si="7"/>
        <v>-591.15000000000009</v>
      </c>
      <c r="T37" s="33">
        <f t="shared" si="8"/>
        <v>3</v>
      </c>
      <c r="U37" s="33">
        <f t="shared" si="9"/>
        <v>1.9500000000000002</v>
      </c>
    </row>
    <row r="38" spans="1:22" s="3" customFormat="1" ht="17.25" x14ac:dyDescent="0.25">
      <c r="A38" s="22">
        <f t="shared" ref="A38:A46" si="33">+A37+1</f>
        <v>2</v>
      </c>
      <c r="B38" s="23" t="s">
        <v>44</v>
      </c>
      <c r="C38" s="24">
        <f t="shared" si="30"/>
        <v>154</v>
      </c>
      <c r="D38" s="25">
        <f t="shared" si="31"/>
        <v>154</v>
      </c>
      <c r="E38" s="25">
        <f t="shared" ref="E38:E39" si="34">SUM(I38,K38,M38)</f>
        <v>0</v>
      </c>
      <c r="F38" s="26">
        <v>74</v>
      </c>
      <c r="G38" s="26">
        <v>0</v>
      </c>
      <c r="H38" s="26">
        <v>3</v>
      </c>
      <c r="I38" s="26"/>
      <c r="J38" s="42">
        <v>80</v>
      </c>
      <c r="K38" s="42">
        <v>0</v>
      </c>
      <c r="L38" s="42">
        <v>0</v>
      </c>
      <c r="M38" s="42">
        <v>0</v>
      </c>
      <c r="N38" s="37">
        <v>80</v>
      </c>
      <c r="O38" s="37"/>
      <c r="P38" s="37"/>
      <c r="Q38" s="37"/>
      <c r="R38" s="42">
        <f t="shared" ref="R38:R39" si="35">+C38-(C38*0.35)</f>
        <v>100.1</v>
      </c>
      <c r="S38" s="44">
        <f t="shared" si="7"/>
        <v>-53.900000000000006</v>
      </c>
      <c r="T38" s="33">
        <f t="shared" ref="T38:T39" si="36">+(G38+H38)</f>
        <v>3</v>
      </c>
      <c r="U38" s="33">
        <f t="shared" si="9"/>
        <v>1.9500000000000002</v>
      </c>
    </row>
    <row r="39" spans="1:22" s="3" customFormat="1" ht="17.25" x14ac:dyDescent="0.3">
      <c r="A39" s="22">
        <f t="shared" si="33"/>
        <v>3</v>
      </c>
      <c r="B39" s="23" t="s">
        <v>45</v>
      </c>
      <c r="C39" s="24">
        <f t="shared" si="30"/>
        <v>1626</v>
      </c>
      <c r="D39" s="25">
        <f t="shared" si="31"/>
        <v>1626</v>
      </c>
      <c r="E39" s="25">
        <f t="shared" si="34"/>
        <v>0</v>
      </c>
      <c r="F39" s="26">
        <v>69</v>
      </c>
      <c r="G39" s="26">
        <v>2</v>
      </c>
      <c r="H39" s="26">
        <v>2</v>
      </c>
      <c r="I39" s="26"/>
      <c r="J39" s="42">
        <v>220</v>
      </c>
      <c r="K39" s="42">
        <v>0</v>
      </c>
      <c r="L39" s="42">
        <v>1337</v>
      </c>
      <c r="M39" s="42">
        <v>0</v>
      </c>
      <c r="N39" s="37">
        <v>220</v>
      </c>
      <c r="O39" s="37">
        <v>0</v>
      </c>
      <c r="P39" s="37">
        <v>1337</v>
      </c>
      <c r="Q39" s="40"/>
      <c r="R39" s="42">
        <f t="shared" si="35"/>
        <v>1056.9000000000001</v>
      </c>
      <c r="S39" s="44">
        <f t="shared" si="7"/>
        <v>-569.09999999999991</v>
      </c>
      <c r="T39" s="33">
        <f t="shared" si="36"/>
        <v>4</v>
      </c>
      <c r="U39" s="33">
        <f t="shared" si="9"/>
        <v>2.6</v>
      </c>
      <c r="V39" s="8" t="s">
        <v>7</v>
      </c>
    </row>
    <row r="40" spans="1:22" s="3" customFormat="1" ht="17.25" x14ac:dyDescent="0.25">
      <c r="A40" s="22">
        <f t="shared" si="33"/>
        <v>4</v>
      </c>
      <c r="B40" s="23" t="s">
        <v>39</v>
      </c>
      <c r="C40" s="24">
        <f t="shared" ref="C40:C41" si="37">SUM(D40:E40)</f>
        <v>11738.5</v>
      </c>
      <c r="D40" s="25">
        <f t="shared" ref="D40:D41" si="38">SUM(F40,J40,L40)</f>
        <v>10344</v>
      </c>
      <c r="E40" s="25">
        <f t="shared" ref="E40:E45" si="39">SUM(I40,K40,M40)</f>
        <v>1394.5</v>
      </c>
      <c r="F40" s="26">
        <v>498</v>
      </c>
      <c r="G40" s="26">
        <v>1</v>
      </c>
      <c r="H40" s="26">
        <v>4</v>
      </c>
      <c r="I40" s="26">
        <v>17</v>
      </c>
      <c r="J40" s="42">
        <v>2554</v>
      </c>
      <c r="K40" s="42">
        <v>70</v>
      </c>
      <c r="L40" s="42">
        <v>7292</v>
      </c>
      <c r="M40" s="42">
        <v>1307.5</v>
      </c>
      <c r="N40" s="37">
        <v>2554</v>
      </c>
      <c r="O40" s="37">
        <v>70</v>
      </c>
      <c r="P40" s="37">
        <v>7292</v>
      </c>
      <c r="Q40" s="37">
        <v>1307.5</v>
      </c>
      <c r="R40" s="42">
        <f t="shared" si="32"/>
        <v>7630.0250000000005</v>
      </c>
      <c r="S40" s="44">
        <f t="shared" si="7"/>
        <v>-4108.4749999999995</v>
      </c>
      <c r="T40" s="33">
        <f t="shared" si="8"/>
        <v>5</v>
      </c>
      <c r="U40" s="33">
        <f t="shared" si="9"/>
        <v>3.25</v>
      </c>
    </row>
    <row r="41" spans="1:22" s="4" customFormat="1" ht="17.25" x14ac:dyDescent="0.25">
      <c r="A41" s="22">
        <f t="shared" si="33"/>
        <v>5</v>
      </c>
      <c r="B41" s="27" t="s">
        <v>98</v>
      </c>
      <c r="C41" s="28">
        <f t="shared" si="37"/>
        <v>0</v>
      </c>
      <c r="D41" s="29">
        <f t="shared" si="38"/>
        <v>0</v>
      </c>
      <c r="E41" s="29">
        <f t="shared" si="39"/>
        <v>0</v>
      </c>
      <c r="F41" s="30"/>
      <c r="G41" s="30"/>
      <c r="H41" s="30"/>
      <c r="I41" s="30"/>
      <c r="J41" s="43"/>
      <c r="K41" s="43"/>
      <c r="L41" s="43"/>
      <c r="M41" s="43"/>
      <c r="N41" s="39"/>
      <c r="O41" s="39"/>
      <c r="P41" s="39"/>
      <c r="Q41" s="39"/>
      <c r="R41" s="43"/>
      <c r="S41" s="49"/>
      <c r="T41" s="33">
        <f t="shared" si="8"/>
        <v>0</v>
      </c>
      <c r="U41" s="33">
        <f t="shared" si="9"/>
        <v>0</v>
      </c>
    </row>
    <row r="42" spans="1:22" s="3" customFormat="1" ht="17.25" x14ac:dyDescent="0.25">
      <c r="A42" s="22">
        <f t="shared" si="33"/>
        <v>6</v>
      </c>
      <c r="B42" s="23" t="s">
        <v>43</v>
      </c>
      <c r="C42" s="24">
        <f t="shared" ref="C42:C45" si="40">SUM(D42:E42)</f>
        <v>236</v>
      </c>
      <c r="D42" s="25">
        <f t="shared" ref="D42:D45" si="41">SUM(F42,J42,L42)</f>
        <v>236</v>
      </c>
      <c r="E42" s="25">
        <f t="shared" si="39"/>
        <v>0</v>
      </c>
      <c r="F42" s="26">
        <v>73</v>
      </c>
      <c r="G42" s="26">
        <v>1</v>
      </c>
      <c r="H42" s="26">
        <v>1</v>
      </c>
      <c r="I42" s="26"/>
      <c r="J42" s="42">
        <v>163</v>
      </c>
      <c r="K42" s="42">
        <v>0</v>
      </c>
      <c r="L42" s="42">
        <v>0</v>
      </c>
      <c r="M42" s="42">
        <v>0</v>
      </c>
      <c r="N42" s="37">
        <v>163</v>
      </c>
      <c r="O42" s="37"/>
      <c r="P42" s="37"/>
      <c r="Q42" s="37"/>
      <c r="R42" s="42">
        <v>0</v>
      </c>
      <c r="S42" s="44">
        <f t="shared" si="7"/>
        <v>-236</v>
      </c>
      <c r="T42" s="33">
        <f t="shared" ref="T42:T45" si="42">+(G42+H42)</f>
        <v>2</v>
      </c>
      <c r="U42" s="33">
        <f t="shared" si="9"/>
        <v>1.3</v>
      </c>
    </row>
    <row r="43" spans="1:22" s="3" customFormat="1" ht="17.25" x14ac:dyDescent="0.25">
      <c r="A43" s="22">
        <f t="shared" si="33"/>
        <v>7</v>
      </c>
      <c r="B43" s="23" t="s">
        <v>46</v>
      </c>
      <c r="C43" s="24">
        <f t="shared" si="40"/>
        <v>10147</v>
      </c>
      <c r="D43" s="25">
        <f t="shared" si="41"/>
        <v>10147</v>
      </c>
      <c r="E43" s="25">
        <f t="shared" si="39"/>
        <v>0</v>
      </c>
      <c r="F43" s="26">
        <v>49</v>
      </c>
      <c r="G43" s="26">
        <v>1</v>
      </c>
      <c r="H43" s="26">
        <v>2</v>
      </c>
      <c r="I43" s="26"/>
      <c r="J43" s="42">
        <v>168</v>
      </c>
      <c r="K43" s="42">
        <v>0</v>
      </c>
      <c r="L43" s="42">
        <f>621+9309</f>
        <v>9930</v>
      </c>
      <c r="M43" s="42">
        <v>0</v>
      </c>
      <c r="N43" s="37">
        <v>168</v>
      </c>
      <c r="O43" s="37">
        <v>0</v>
      </c>
      <c r="P43" s="37">
        <v>621</v>
      </c>
      <c r="Q43" s="40"/>
      <c r="R43" s="42">
        <f>9309+545</f>
        <v>9854</v>
      </c>
      <c r="S43" s="44">
        <f t="shared" si="7"/>
        <v>-293</v>
      </c>
      <c r="T43" s="33">
        <f t="shared" si="42"/>
        <v>3</v>
      </c>
      <c r="U43" s="33">
        <f t="shared" si="9"/>
        <v>1.9500000000000002</v>
      </c>
    </row>
    <row r="44" spans="1:22" s="4" customFormat="1" ht="17.25" x14ac:dyDescent="0.25">
      <c r="A44" s="22">
        <f t="shared" si="33"/>
        <v>8</v>
      </c>
      <c r="B44" s="27" t="s">
        <v>99</v>
      </c>
      <c r="C44" s="28">
        <f t="shared" si="40"/>
        <v>0</v>
      </c>
      <c r="D44" s="29">
        <f t="shared" si="41"/>
        <v>0</v>
      </c>
      <c r="E44" s="29">
        <f t="shared" si="39"/>
        <v>0</v>
      </c>
      <c r="F44" s="30"/>
      <c r="G44" s="30"/>
      <c r="H44" s="30"/>
      <c r="I44" s="30"/>
      <c r="J44" s="43"/>
      <c r="K44" s="43"/>
      <c r="L44" s="43"/>
      <c r="M44" s="43"/>
      <c r="N44" s="39"/>
      <c r="O44" s="39"/>
      <c r="P44" s="39"/>
      <c r="Q44" s="41"/>
      <c r="R44" s="43"/>
      <c r="S44" s="49"/>
      <c r="T44" s="33">
        <f t="shared" si="42"/>
        <v>0</v>
      </c>
      <c r="U44" s="33">
        <f t="shared" si="9"/>
        <v>0</v>
      </c>
    </row>
    <row r="45" spans="1:22" s="3" customFormat="1" ht="17.25" x14ac:dyDescent="0.25">
      <c r="A45" s="22">
        <f t="shared" si="33"/>
        <v>9</v>
      </c>
      <c r="B45" s="23" t="s">
        <v>42</v>
      </c>
      <c r="C45" s="24">
        <f t="shared" si="40"/>
        <v>91</v>
      </c>
      <c r="D45" s="25">
        <f t="shared" si="41"/>
        <v>91</v>
      </c>
      <c r="E45" s="25">
        <f t="shared" si="39"/>
        <v>0</v>
      </c>
      <c r="F45" s="26">
        <v>91</v>
      </c>
      <c r="G45" s="26">
        <v>0</v>
      </c>
      <c r="H45" s="26">
        <v>2</v>
      </c>
      <c r="I45" s="26"/>
      <c r="J45" s="42">
        <v>0</v>
      </c>
      <c r="K45" s="42">
        <v>0</v>
      </c>
      <c r="L45" s="42">
        <v>0</v>
      </c>
      <c r="M45" s="42">
        <v>0</v>
      </c>
      <c r="N45" s="37"/>
      <c r="O45" s="37"/>
      <c r="P45" s="37"/>
      <c r="Q45" s="37"/>
      <c r="R45" s="42">
        <f t="shared" ref="R45" si="43">+C45-(C45*0.35)</f>
        <v>59.150000000000006</v>
      </c>
      <c r="S45" s="44">
        <f t="shared" si="7"/>
        <v>-31.849999999999994</v>
      </c>
      <c r="T45" s="33">
        <f t="shared" si="42"/>
        <v>2</v>
      </c>
      <c r="U45" s="33">
        <f t="shared" si="9"/>
        <v>1.3</v>
      </c>
    </row>
    <row r="46" spans="1:22" s="3" customFormat="1" ht="17.25" x14ac:dyDescent="0.25">
      <c r="A46" s="22">
        <f t="shared" si="33"/>
        <v>10</v>
      </c>
      <c r="B46" s="23" t="s">
        <v>40</v>
      </c>
      <c r="C46" s="24">
        <f t="shared" ref="C46" si="44">SUM(D46:E46)</f>
        <v>1885</v>
      </c>
      <c r="D46" s="25">
        <f t="shared" ref="D46" si="45">SUM(F46,J46,L46)</f>
        <v>1885</v>
      </c>
      <c r="E46" s="25">
        <f t="shared" ref="E46" si="46">SUM(I46,K46,M46)</f>
        <v>0</v>
      </c>
      <c r="F46" s="26">
        <v>266</v>
      </c>
      <c r="G46" s="26">
        <v>0</v>
      </c>
      <c r="H46" s="26">
        <v>2</v>
      </c>
      <c r="I46" s="26"/>
      <c r="J46" s="42">
        <v>859</v>
      </c>
      <c r="K46" s="42">
        <v>0</v>
      </c>
      <c r="L46" s="42">
        <v>760</v>
      </c>
      <c r="M46" s="42">
        <v>0</v>
      </c>
      <c r="N46" s="37">
        <v>859</v>
      </c>
      <c r="O46" s="37"/>
      <c r="P46" s="37">
        <v>760</v>
      </c>
      <c r="Q46" s="37"/>
      <c r="R46" s="42">
        <v>1885</v>
      </c>
      <c r="S46" s="44">
        <f t="shared" si="7"/>
        <v>0</v>
      </c>
      <c r="T46" s="33">
        <f t="shared" ref="T46" si="47">+(G46+H46)</f>
        <v>2</v>
      </c>
      <c r="U46" s="33">
        <f t="shared" si="9"/>
        <v>1.3</v>
      </c>
    </row>
    <row r="47" spans="1:22" x14ac:dyDescent="0.25">
      <c r="A47" s="159" t="s">
        <v>8</v>
      </c>
      <c r="B47" s="159"/>
      <c r="C47" s="20">
        <f t="shared" ref="C47:M47" si="48">SUM(C48:C53)</f>
        <v>1259</v>
      </c>
      <c r="D47" s="20">
        <f t="shared" si="48"/>
        <v>1254</v>
      </c>
      <c r="E47" s="20">
        <f t="shared" si="48"/>
        <v>5</v>
      </c>
      <c r="F47" s="20">
        <f t="shared" si="48"/>
        <v>295</v>
      </c>
      <c r="G47" s="20">
        <f t="shared" si="48"/>
        <v>4</v>
      </c>
      <c r="H47" s="20">
        <f t="shared" si="48"/>
        <v>10</v>
      </c>
      <c r="I47" s="20">
        <f t="shared" si="48"/>
        <v>0</v>
      </c>
      <c r="J47" s="20">
        <f t="shared" si="48"/>
        <v>752</v>
      </c>
      <c r="K47" s="20">
        <f t="shared" si="48"/>
        <v>5</v>
      </c>
      <c r="L47" s="20">
        <f t="shared" si="48"/>
        <v>207</v>
      </c>
      <c r="M47" s="20">
        <f t="shared" si="48"/>
        <v>0</v>
      </c>
      <c r="N47" s="20">
        <f>SUM(N49:N53)</f>
        <v>741</v>
      </c>
      <c r="O47" s="20">
        <f>SUM(O49:O53)</f>
        <v>0</v>
      </c>
      <c r="P47" s="20">
        <f>SUM(P49:P53)</f>
        <v>207</v>
      </c>
      <c r="Q47" s="20">
        <f>SUM(Q49:Q53)</f>
        <v>0</v>
      </c>
      <c r="R47" s="20">
        <f t="shared" ref="R47:S47" si="49">SUM(R48:R53)</f>
        <v>798.2</v>
      </c>
      <c r="S47" s="48">
        <f t="shared" si="49"/>
        <v>-460.7999999999999</v>
      </c>
      <c r="T47" s="33">
        <f t="shared" si="8"/>
        <v>14</v>
      </c>
      <c r="U47" s="33">
        <f t="shared" si="9"/>
        <v>9.1000000000000014</v>
      </c>
    </row>
    <row r="48" spans="1:22" s="3" customFormat="1" ht="17.25" x14ac:dyDescent="0.25">
      <c r="A48" s="22">
        <v>1</v>
      </c>
      <c r="B48" s="23" t="s">
        <v>51</v>
      </c>
      <c r="C48" s="24">
        <f t="shared" ref="C48" si="50">SUM(D48:E48)</f>
        <v>31</v>
      </c>
      <c r="D48" s="25">
        <f t="shared" ref="D48" si="51">SUM(F48,J48,L48)</f>
        <v>26</v>
      </c>
      <c r="E48" s="25">
        <f t="shared" ref="E48" si="52">SUM(I48,K48,M48)</f>
        <v>5</v>
      </c>
      <c r="F48" s="26">
        <v>15</v>
      </c>
      <c r="G48" s="26">
        <v>1</v>
      </c>
      <c r="H48" s="26">
        <v>1</v>
      </c>
      <c r="I48" s="26"/>
      <c r="J48" s="42">
        <v>11</v>
      </c>
      <c r="K48" s="42">
        <v>5</v>
      </c>
      <c r="L48" s="42">
        <v>0</v>
      </c>
      <c r="M48" s="42">
        <v>0</v>
      </c>
      <c r="N48" s="37">
        <v>11</v>
      </c>
      <c r="O48" s="37">
        <v>5</v>
      </c>
      <c r="P48" s="37">
        <v>0</v>
      </c>
      <c r="Q48" s="37">
        <v>0</v>
      </c>
      <c r="R48" s="42">
        <v>0</v>
      </c>
      <c r="S48" s="44">
        <f t="shared" si="7"/>
        <v>-31</v>
      </c>
      <c r="T48" s="33">
        <f t="shared" ref="T48" si="53">+(G48+H48)</f>
        <v>2</v>
      </c>
      <c r="U48" s="33">
        <f t="shared" si="9"/>
        <v>1.3</v>
      </c>
    </row>
    <row r="49" spans="1:21" s="3" customFormat="1" ht="17.25" x14ac:dyDescent="0.25">
      <c r="A49" s="22">
        <f>+A48+1</f>
        <v>2</v>
      </c>
      <c r="B49" s="23" t="s">
        <v>47</v>
      </c>
      <c r="C49" s="24">
        <f t="shared" ref="C49:C53" si="54">SUM(D49:E49)</f>
        <v>413</v>
      </c>
      <c r="D49" s="25">
        <f t="shared" ref="D49:D53" si="55">SUM(F49,J49,L49)</f>
        <v>413</v>
      </c>
      <c r="E49" s="25">
        <f t="shared" ref="E49:E83" si="56">SUM(I49,K49,M49)</f>
        <v>0</v>
      </c>
      <c r="F49" s="26">
        <v>108</v>
      </c>
      <c r="G49" s="26">
        <v>1</v>
      </c>
      <c r="H49" s="26">
        <v>2</v>
      </c>
      <c r="I49" s="26"/>
      <c r="J49" s="42">
        <v>305</v>
      </c>
      <c r="K49" s="42">
        <v>0</v>
      </c>
      <c r="L49" s="42">
        <v>0</v>
      </c>
      <c r="M49" s="42">
        <v>0</v>
      </c>
      <c r="N49" s="37">
        <v>305</v>
      </c>
      <c r="O49" s="37">
        <v>0</v>
      </c>
      <c r="P49" s="37">
        <v>0</v>
      </c>
      <c r="Q49" s="37">
        <v>0</v>
      </c>
      <c r="R49" s="42">
        <f t="shared" si="32"/>
        <v>268.45000000000005</v>
      </c>
      <c r="S49" s="44">
        <f t="shared" si="7"/>
        <v>-144.54999999999995</v>
      </c>
      <c r="T49" s="33">
        <f t="shared" si="8"/>
        <v>3</v>
      </c>
      <c r="U49" s="33">
        <f t="shared" si="9"/>
        <v>1.9500000000000002</v>
      </c>
    </row>
    <row r="50" spans="1:21" s="3" customFormat="1" ht="17.25" x14ac:dyDescent="0.25">
      <c r="A50" s="22">
        <f t="shared" ref="A50:A53" si="57">+A49+1</f>
        <v>3</v>
      </c>
      <c r="B50" s="23" t="s">
        <v>48</v>
      </c>
      <c r="C50" s="24">
        <f t="shared" si="54"/>
        <v>324</v>
      </c>
      <c r="D50" s="25">
        <f t="shared" si="55"/>
        <v>324</v>
      </c>
      <c r="E50" s="25">
        <f t="shared" si="56"/>
        <v>0</v>
      </c>
      <c r="F50" s="26">
        <v>68</v>
      </c>
      <c r="G50" s="26">
        <v>1</v>
      </c>
      <c r="H50" s="26">
        <v>2</v>
      </c>
      <c r="I50" s="26"/>
      <c r="J50" s="42">
        <v>49</v>
      </c>
      <c r="K50" s="42">
        <v>0</v>
      </c>
      <c r="L50" s="42">
        <v>207</v>
      </c>
      <c r="M50" s="42">
        <v>0</v>
      </c>
      <c r="N50" s="37">
        <v>49</v>
      </c>
      <c r="O50" s="37"/>
      <c r="P50" s="37">
        <v>207</v>
      </c>
      <c r="Q50" s="37"/>
      <c r="R50" s="42">
        <f t="shared" si="32"/>
        <v>210.60000000000002</v>
      </c>
      <c r="S50" s="44">
        <f t="shared" si="7"/>
        <v>-113.39999999999998</v>
      </c>
      <c r="T50" s="33">
        <f t="shared" si="8"/>
        <v>3</v>
      </c>
      <c r="U50" s="33">
        <f t="shared" si="9"/>
        <v>1.9500000000000002</v>
      </c>
    </row>
    <row r="51" spans="1:21" s="3" customFormat="1" ht="31.5" x14ac:dyDescent="0.25">
      <c r="A51" s="22">
        <f t="shared" si="57"/>
        <v>4</v>
      </c>
      <c r="B51" s="23" t="s">
        <v>50</v>
      </c>
      <c r="C51" s="24">
        <f t="shared" ref="C51" si="58">SUM(D51:E51)</f>
        <v>23</v>
      </c>
      <c r="D51" s="25">
        <f t="shared" ref="D51" si="59">SUM(F51,J51,L51)</f>
        <v>23</v>
      </c>
      <c r="E51" s="25">
        <f t="shared" ref="E51" si="60">SUM(I51,K51,M51)</f>
        <v>0</v>
      </c>
      <c r="F51" s="26">
        <v>23</v>
      </c>
      <c r="G51" s="26">
        <v>0</v>
      </c>
      <c r="H51" s="26">
        <v>2</v>
      </c>
      <c r="I51" s="26"/>
      <c r="J51" s="42">
        <v>0</v>
      </c>
      <c r="K51" s="42">
        <v>0</v>
      </c>
      <c r="L51" s="42">
        <v>0</v>
      </c>
      <c r="M51" s="42">
        <v>0</v>
      </c>
      <c r="N51" s="37"/>
      <c r="O51" s="37"/>
      <c r="P51" s="37"/>
      <c r="Q51" s="37"/>
      <c r="R51" s="42">
        <f t="shared" ref="R51" si="61">+C51-(C51*0.35)</f>
        <v>14.950000000000001</v>
      </c>
      <c r="S51" s="44">
        <f t="shared" si="7"/>
        <v>-8.0499999999999989</v>
      </c>
      <c r="T51" s="33">
        <f t="shared" ref="T51" si="62">+(G51+H51)</f>
        <v>2</v>
      </c>
      <c r="U51" s="33">
        <f t="shared" si="9"/>
        <v>1.3</v>
      </c>
    </row>
    <row r="52" spans="1:21" s="6" customFormat="1" ht="31.5" x14ac:dyDescent="0.25">
      <c r="A52" s="22">
        <f t="shared" si="57"/>
        <v>5</v>
      </c>
      <c r="B52" s="27" t="s">
        <v>49</v>
      </c>
      <c r="C52" s="28"/>
      <c r="D52" s="29"/>
      <c r="E52" s="29"/>
      <c r="F52" s="30"/>
      <c r="G52" s="30"/>
      <c r="H52" s="30"/>
      <c r="I52" s="30"/>
      <c r="J52" s="43"/>
      <c r="K52" s="43"/>
      <c r="L52" s="43"/>
      <c r="M52" s="43"/>
      <c r="N52" s="39"/>
      <c r="O52" s="39"/>
      <c r="P52" s="39"/>
      <c r="Q52" s="39"/>
      <c r="R52" s="43"/>
      <c r="S52" s="49"/>
      <c r="T52" s="33">
        <f t="shared" si="8"/>
        <v>0</v>
      </c>
      <c r="U52" s="33">
        <f t="shared" si="9"/>
        <v>0</v>
      </c>
    </row>
    <row r="53" spans="1:21" s="3" customFormat="1" ht="17.25" x14ac:dyDescent="0.25">
      <c r="A53" s="22">
        <f t="shared" si="57"/>
        <v>6</v>
      </c>
      <c r="B53" s="23" t="s">
        <v>52</v>
      </c>
      <c r="C53" s="24">
        <f t="shared" si="54"/>
        <v>468</v>
      </c>
      <c r="D53" s="25">
        <f t="shared" si="55"/>
        <v>468</v>
      </c>
      <c r="E53" s="25">
        <f t="shared" si="56"/>
        <v>0</v>
      </c>
      <c r="F53" s="26">
        <v>81</v>
      </c>
      <c r="G53" s="26">
        <v>1</v>
      </c>
      <c r="H53" s="26">
        <v>3</v>
      </c>
      <c r="I53" s="26"/>
      <c r="J53" s="42">
        <v>387</v>
      </c>
      <c r="K53" s="42">
        <v>0</v>
      </c>
      <c r="L53" s="42">
        <v>0</v>
      </c>
      <c r="M53" s="42">
        <v>0</v>
      </c>
      <c r="N53" s="37">
        <v>387</v>
      </c>
      <c r="O53" s="37"/>
      <c r="P53" s="37"/>
      <c r="Q53" s="37"/>
      <c r="R53" s="42">
        <f t="shared" si="32"/>
        <v>304.20000000000005</v>
      </c>
      <c r="S53" s="44">
        <f t="shared" si="7"/>
        <v>-163.79999999999995</v>
      </c>
      <c r="T53" s="33">
        <f t="shared" si="8"/>
        <v>4</v>
      </c>
      <c r="U53" s="33">
        <f t="shared" si="9"/>
        <v>2.6</v>
      </c>
    </row>
    <row r="54" spans="1:21" ht="17.25" x14ac:dyDescent="0.25">
      <c r="A54" s="156" t="s">
        <v>105</v>
      </c>
      <c r="B54" s="156"/>
      <c r="C54" s="19">
        <f t="shared" ref="C54:S54" si="63">SUM(C55:C83)</f>
        <v>27792</v>
      </c>
      <c r="D54" s="19">
        <f t="shared" si="63"/>
        <v>24807</v>
      </c>
      <c r="E54" s="19">
        <f t="shared" si="63"/>
        <v>2985</v>
      </c>
      <c r="F54" s="19">
        <f t="shared" si="63"/>
        <v>1571</v>
      </c>
      <c r="G54" s="19">
        <f t="shared" si="63"/>
        <v>23</v>
      </c>
      <c r="H54" s="19">
        <f t="shared" si="63"/>
        <v>39</v>
      </c>
      <c r="I54" s="19">
        <f t="shared" si="63"/>
        <v>191</v>
      </c>
      <c r="J54" s="19">
        <f t="shared" si="63"/>
        <v>2014</v>
      </c>
      <c r="K54" s="19">
        <f t="shared" si="63"/>
        <v>758</v>
      </c>
      <c r="L54" s="19">
        <f t="shared" si="63"/>
        <v>21222</v>
      </c>
      <c r="M54" s="19">
        <f t="shared" si="63"/>
        <v>2036</v>
      </c>
      <c r="N54" s="9">
        <f t="shared" si="63"/>
        <v>1686</v>
      </c>
      <c r="O54" s="9">
        <f t="shared" si="63"/>
        <v>758</v>
      </c>
      <c r="P54" s="9">
        <f t="shared" si="63"/>
        <v>2604</v>
      </c>
      <c r="Q54" s="9">
        <f t="shared" si="63"/>
        <v>2036</v>
      </c>
      <c r="R54" s="19">
        <f t="shared" si="63"/>
        <v>21055</v>
      </c>
      <c r="S54" s="46">
        <f t="shared" si="63"/>
        <v>-6737</v>
      </c>
      <c r="T54" s="33">
        <f t="shared" si="8"/>
        <v>62</v>
      </c>
      <c r="U54" s="33">
        <f t="shared" si="9"/>
        <v>40.299999999999997</v>
      </c>
    </row>
    <row r="55" spans="1:21" s="7" customFormat="1" ht="17.25" x14ac:dyDescent="0.25">
      <c r="A55" s="22">
        <v>1</v>
      </c>
      <c r="B55" s="23" t="s">
        <v>55</v>
      </c>
      <c r="C55" s="24">
        <f t="shared" ref="C55:C72" si="64">SUM(D55:E55)</f>
        <v>473</v>
      </c>
      <c r="D55" s="25">
        <f t="shared" ref="D55:D72" si="65">SUM(F55,J55,L55)</f>
        <v>473</v>
      </c>
      <c r="E55" s="25">
        <f t="shared" ref="E55:E72" si="66">SUM(I55,K55,M55)</f>
        <v>0</v>
      </c>
      <c r="F55" s="26">
        <v>145</v>
      </c>
      <c r="G55" s="26">
        <v>1</v>
      </c>
      <c r="H55" s="26">
        <v>3</v>
      </c>
      <c r="I55" s="26"/>
      <c r="J55" s="42">
        <v>328</v>
      </c>
      <c r="K55" s="42">
        <v>0</v>
      </c>
      <c r="L55" s="42">
        <v>0</v>
      </c>
      <c r="M55" s="42">
        <v>0</v>
      </c>
      <c r="N55" s="37"/>
      <c r="O55" s="37"/>
      <c r="P55" s="37"/>
      <c r="Q55" s="37"/>
      <c r="R55" s="42">
        <f t="shared" si="32"/>
        <v>307.45000000000005</v>
      </c>
      <c r="S55" s="44">
        <f t="shared" si="7"/>
        <v>-165.54999999999995</v>
      </c>
      <c r="T55" s="33">
        <f t="shared" si="8"/>
        <v>4</v>
      </c>
      <c r="U55" s="33">
        <f t="shared" si="9"/>
        <v>2.6</v>
      </c>
    </row>
    <row r="56" spans="1:21" s="3" customFormat="1" ht="31.5" x14ac:dyDescent="0.25">
      <c r="A56" s="22">
        <f>+A55+1</f>
        <v>2</v>
      </c>
      <c r="B56" s="23" t="s">
        <v>56</v>
      </c>
      <c r="C56" s="24">
        <f t="shared" si="64"/>
        <v>57</v>
      </c>
      <c r="D56" s="25">
        <f t="shared" si="65"/>
        <v>57</v>
      </c>
      <c r="E56" s="25">
        <f t="shared" si="66"/>
        <v>0</v>
      </c>
      <c r="F56" s="26">
        <v>57</v>
      </c>
      <c r="G56" s="26">
        <v>1</v>
      </c>
      <c r="H56" s="26">
        <v>2</v>
      </c>
      <c r="I56" s="26"/>
      <c r="J56" s="42">
        <v>0</v>
      </c>
      <c r="K56" s="42">
        <v>0</v>
      </c>
      <c r="L56" s="42">
        <v>0</v>
      </c>
      <c r="M56" s="42">
        <v>0</v>
      </c>
      <c r="N56" s="37"/>
      <c r="O56" s="37"/>
      <c r="P56" s="37"/>
      <c r="Q56" s="37"/>
      <c r="R56" s="42">
        <v>0</v>
      </c>
      <c r="S56" s="44">
        <f t="shared" si="7"/>
        <v>-57</v>
      </c>
      <c r="T56" s="33">
        <f t="shared" ref="T56:T72" si="67">+(G56+H56)</f>
        <v>3</v>
      </c>
      <c r="U56" s="33">
        <f t="shared" si="9"/>
        <v>1.9500000000000002</v>
      </c>
    </row>
    <row r="57" spans="1:21" s="3" customFormat="1" ht="17.25" x14ac:dyDescent="0.25">
      <c r="A57" s="22">
        <f t="shared" ref="A57:A83" si="68">+A56+1</f>
        <v>3</v>
      </c>
      <c r="B57" s="23" t="s">
        <v>64</v>
      </c>
      <c r="C57" s="24">
        <f t="shared" si="64"/>
        <v>2818</v>
      </c>
      <c r="D57" s="25">
        <f t="shared" si="65"/>
        <v>474</v>
      </c>
      <c r="E57" s="25">
        <f t="shared" si="66"/>
        <v>2344</v>
      </c>
      <c r="F57" s="26">
        <v>116</v>
      </c>
      <c r="G57" s="26">
        <v>1</v>
      </c>
      <c r="H57" s="26">
        <v>2</v>
      </c>
      <c r="I57" s="26"/>
      <c r="J57" s="42">
        <v>358</v>
      </c>
      <c r="K57" s="42">
        <v>744</v>
      </c>
      <c r="L57" s="42">
        <v>0</v>
      </c>
      <c r="M57" s="42">
        <v>1600</v>
      </c>
      <c r="N57" s="37">
        <v>358</v>
      </c>
      <c r="O57" s="37">
        <v>744</v>
      </c>
      <c r="P57" s="37">
        <v>0</v>
      </c>
      <c r="Q57" s="37">
        <v>1600</v>
      </c>
      <c r="R57" s="42">
        <v>0</v>
      </c>
      <c r="S57" s="44">
        <f t="shared" si="7"/>
        <v>-2818</v>
      </c>
      <c r="T57" s="33">
        <f t="shared" si="67"/>
        <v>3</v>
      </c>
      <c r="U57" s="33">
        <f t="shared" si="9"/>
        <v>1.9500000000000002</v>
      </c>
    </row>
    <row r="58" spans="1:21" s="3" customFormat="1" ht="17.25" x14ac:dyDescent="0.25">
      <c r="A58" s="22">
        <f t="shared" si="68"/>
        <v>4</v>
      </c>
      <c r="B58" s="23" t="s">
        <v>73</v>
      </c>
      <c r="C58" s="24">
        <f t="shared" si="64"/>
        <v>805</v>
      </c>
      <c r="D58" s="25">
        <f t="shared" si="65"/>
        <v>356</v>
      </c>
      <c r="E58" s="25">
        <f t="shared" si="66"/>
        <v>449</v>
      </c>
      <c r="F58" s="26">
        <v>38</v>
      </c>
      <c r="G58" s="26">
        <v>1</v>
      </c>
      <c r="H58" s="26">
        <v>1</v>
      </c>
      <c r="I58" s="26">
        <v>13</v>
      </c>
      <c r="J58" s="42">
        <v>112</v>
      </c>
      <c r="K58" s="42">
        <v>0</v>
      </c>
      <c r="L58" s="42">
        <v>206</v>
      </c>
      <c r="M58" s="42">
        <v>436</v>
      </c>
      <c r="N58" s="37">
        <v>112</v>
      </c>
      <c r="O58" s="37">
        <v>0</v>
      </c>
      <c r="P58" s="37">
        <v>206</v>
      </c>
      <c r="Q58" s="37">
        <v>436</v>
      </c>
      <c r="R58" s="42">
        <v>0</v>
      </c>
      <c r="S58" s="44">
        <f t="shared" si="7"/>
        <v>-805</v>
      </c>
      <c r="T58" s="33">
        <f t="shared" si="67"/>
        <v>2</v>
      </c>
      <c r="U58" s="33">
        <f t="shared" si="9"/>
        <v>1.3</v>
      </c>
    </row>
    <row r="59" spans="1:21" s="3" customFormat="1" ht="17.25" x14ac:dyDescent="0.25">
      <c r="A59" s="22">
        <f t="shared" si="68"/>
        <v>5</v>
      </c>
      <c r="B59" s="23" t="s">
        <v>71</v>
      </c>
      <c r="C59" s="24">
        <f t="shared" si="64"/>
        <v>10659</v>
      </c>
      <c r="D59" s="25">
        <f t="shared" si="65"/>
        <v>10659</v>
      </c>
      <c r="E59" s="25">
        <f t="shared" si="66"/>
        <v>0</v>
      </c>
      <c r="F59" s="26">
        <v>71</v>
      </c>
      <c r="G59" s="26">
        <v>1</v>
      </c>
      <c r="H59" s="26">
        <v>2</v>
      </c>
      <c r="I59" s="26"/>
      <c r="J59" s="42">
        <v>210</v>
      </c>
      <c r="K59" s="42">
        <v>0</v>
      </c>
      <c r="L59" s="42">
        <f>1069+9309</f>
        <v>10378</v>
      </c>
      <c r="M59" s="42">
        <v>0</v>
      </c>
      <c r="N59" s="37">
        <v>210</v>
      </c>
      <c r="O59" s="37">
        <v>0</v>
      </c>
      <c r="P59" s="37">
        <f>10442-9373</f>
        <v>1069</v>
      </c>
      <c r="Q59" s="37"/>
      <c r="R59" s="42">
        <f>+C59-1209</f>
        <v>9450</v>
      </c>
      <c r="S59" s="44">
        <f t="shared" si="7"/>
        <v>-1209</v>
      </c>
      <c r="T59" s="33">
        <f t="shared" si="67"/>
        <v>3</v>
      </c>
      <c r="U59" s="33">
        <f t="shared" si="9"/>
        <v>1.9500000000000002</v>
      </c>
    </row>
    <row r="60" spans="1:21" s="3" customFormat="1" ht="17.25" x14ac:dyDescent="0.25">
      <c r="A60" s="22">
        <f t="shared" si="68"/>
        <v>6</v>
      </c>
      <c r="B60" s="23" t="s">
        <v>74</v>
      </c>
      <c r="C60" s="24">
        <f t="shared" si="64"/>
        <v>90</v>
      </c>
      <c r="D60" s="25">
        <f t="shared" si="65"/>
        <v>73</v>
      </c>
      <c r="E60" s="25">
        <f t="shared" si="66"/>
        <v>17</v>
      </c>
      <c r="F60" s="26">
        <v>30</v>
      </c>
      <c r="G60" s="26">
        <v>1</v>
      </c>
      <c r="H60" s="26">
        <v>0</v>
      </c>
      <c r="I60" s="26">
        <v>3</v>
      </c>
      <c r="J60" s="42">
        <v>43</v>
      </c>
      <c r="K60" s="42">
        <v>14</v>
      </c>
      <c r="L60" s="42">
        <v>0</v>
      </c>
      <c r="M60" s="42">
        <v>0</v>
      </c>
      <c r="N60" s="37">
        <v>43</v>
      </c>
      <c r="O60" s="37">
        <v>14</v>
      </c>
      <c r="P60" s="37">
        <v>0</v>
      </c>
      <c r="Q60" s="37">
        <v>0</v>
      </c>
      <c r="R60" s="42">
        <f t="shared" ref="R60:R71" si="69">+C60-(C60*0.35)</f>
        <v>58.5</v>
      </c>
      <c r="S60" s="44">
        <f t="shared" si="7"/>
        <v>-31.5</v>
      </c>
      <c r="T60" s="33">
        <f t="shared" si="67"/>
        <v>1</v>
      </c>
      <c r="U60" s="33">
        <f t="shared" si="9"/>
        <v>0.65</v>
      </c>
    </row>
    <row r="61" spans="1:21" s="3" customFormat="1" ht="17.25" x14ac:dyDescent="0.25">
      <c r="A61" s="22">
        <f t="shared" si="68"/>
        <v>7</v>
      </c>
      <c r="B61" s="23" t="s">
        <v>69</v>
      </c>
      <c r="C61" s="24">
        <f t="shared" si="64"/>
        <v>70</v>
      </c>
      <c r="D61" s="25">
        <f t="shared" si="65"/>
        <v>70</v>
      </c>
      <c r="E61" s="25">
        <f t="shared" si="66"/>
        <v>0</v>
      </c>
      <c r="F61" s="26">
        <v>20</v>
      </c>
      <c r="G61" s="26">
        <v>0</v>
      </c>
      <c r="H61" s="26">
        <v>2</v>
      </c>
      <c r="I61" s="26"/>
      <c r="J61" s="42">
        <v>50</v>
      </c>
      <c r="K61" s="42">
        <v>0</v>
      </c>
      <c r="L61" s="42">
        <v>0</v>
      </c>
      <c r="M61" s="42">
        <v>0</v>
      </c>
      <c r="N61" s="37">
        <v>50</v>
      </c>
      <c r="O61" s="37"/>
      <c r="P61" s="37"/>
      <c r="Q61" s="37"/>
      <c r="R61" s="42">
        <f t="shared" si="69"/>
        <v>45.5</v>
      </c>
      <c r="S61" s="44">
        <f t="shared" si="7"/>
        <v>-24.5</v>
      </c>
      <c r="T61" s="33">
        <f t="shared" si="67"/>
        <v>2</v>
      </c>
      <c r="U61" s="33">
        <f t="shared" si="9"/>
        <v>1.3</v>
      </c>
    </row>
    <row r="62" spans="1:21" s="3" customFormat="1" ht="17.25" x14ac:dyDescent="0.25">
      <c r="A62" s="22">
        <f t="shared" si="68"/>
        <v>8</v>
      </c>
      <c r="B62" s="23" t="s">
        <v>9</v>
      </c>
      <c r="C62" s="24">
        <f t="shared" si="64"/>
        <v>132</v>
      </c>
      <c r="D62" s="25">
        <f t="shared" si="65"/>
        <v>132</v>
      </c>
      <c r="E62" s="25">
        <f t="shared" si="66"/>
        <v>0</v>
      </c>
      <c r="F62" s="26">
        <v>80</v>
      </c>
      <c r="G62" s="26">
        <v>1</v>
      </c>
      <c r="H62" s="26">
        <v>2</v>
      </c>
      <c r="I62" s="26"/>
      <c r="J62" s="42">
        <v>52</v>
      </c>
      <c r="K62" s="42">
        <v>0</v>
      </c>
      <c r="L62" s="42">
        <v>0</v>
      </c>
      <c r="M62" s="42">
        <v>0</v>
      </c>
      <c r="N62" s="37">
        <v>52</v>
      </c>
      <c r="O62" s="37">
        <v>0</v>
      </c>
      <c r="P62" s="37">
        <v>0</v>
      </c>
      <c r="Q62" s="37">
        <v>0</v>
      </c>
      <c r="R62" s="42">
        <f t="shared" si="69"/>
        <v>85.800000000000011</v>
      </c>
      <c r="S62" s="44">
        <f t="shared" si="7"/>
        <v>-46.199999999999989</v>
      </c>
      <c r="T62" s="33">
        <f t="shared" si="67"/>
        <v>3</v>
      </c>
      <c r="U62" s="33">
        <f t="shared" si="9"/>
        <v>1.9500000000000002</v>
      </c>
    </row>
    <row r="63" spans="1:21" s="3" customFormat="1" ht="31.5" x14ac:dyDescent="0.25">
      <c r="A63" s="22">
        <f t="shared" si="68"/>
        <v>9</v>
      </c>
      <c r="B63" s="23" t="s">
        <v>70</v>
      </c>
      <c r="C63" s="24">
        <f t="shared" si="64"/>
        <v>73</v>
      </c>
      <c r="D63" s="25">
        <f t="shared" si="65"/>
        <v>73</v>
      </c>
      <c r="E63" s="25">
        <f t="shared" si="66"/>
        <v>0</v>
      </c>
      <c r="F63" s="26">
        <v>31</v>
      </c>
      <c r="G63" s="26">
        <v>0</v>
      </c>
      <c r="H63" s="26">
        <v>2</v>
      </c>
      <c r="I63" s="26"/>
      <c r="J63" s="42">
        <v>42</v>
      </c>
      <c r="K63" s="42">
        <v>0</v>
      </c>
      <c r="L63" s="42">
        <v>0</v>
      </c>
      <c r="M63" s="42">
        <v>0</v>
      </c>
      <c r="N63" s="37">
        <v>42</v>
      </c>
      <c r="O63" s="37"/>
      <c r="P63" s="37"/>
      <c r="Q63" s="37"/>
      <c r="R63" s="42">
        <v>0</v>
      </c>
      <c r="S63" s="44">
        <f t="shared" si="7"/>
        <v>-73</v>
      </c>
      <c r="T63" s="33">
        <f t="shared" si="67"/>
        <v>2</v>
      </c>
      <c r="U63" s="33">
        <f t="shared" si="9"/>
        <v>1.3</v>
      </c>
    </row>
    <row r="64" spans="1:21" s="3" customFormat="1" ht="31.5" x14ac:dyDescent="0.25">
      <c r="A64" s="22">
        <f t="shared" si="68"/>
        <v>10</v>
      </c>
      <c r="B64" s="23" t="s">
        <v>53</v>
      </c>
      <c r="C64" s="24">
        <f t="shared" si="64"/>
        <v>31</v>
      </c>
      <c r="D64" s="25">
        <f t="shared" si="65"/>
        <v>31</v>
      </c>
      <c r="E64" s="25">
        <f t="shared" si="66"/>
        <v>0</v>
      </c>
      <c r="F64" s="26">
        <v>31</v>
      </c>
      <c r="G64" s="26">
        <v>1</v>
      </c>
      <c r="H64" s="26">
        <v>1</v>
      </c>
      <c r="I64" s="26"/>
      <c r="J64" s="42">
        <v>0</v>
      </c>
      <c r="K64" s="42">
        <v>0</v>
      </c>
      <c r="L64" s="42">
        <v>0</v>
      </c>
      <c r="M64" s="42">
        <v>0</v>
      </c>
      <c r="N64" s="37"/>
      <c r="O64" s="37"/>
      <c r="P64" s="37"/>
      <c r="Q64" s="37"/>
      <c r="R64" s="42">
        <f t="shared" si="69"/>
        <v>20.149999999999999</v>
      </c>
      <c r="S64" s="44">
        <f t="shared" si="7"/>
        <v>-10.850000000000001</v>
      </c>
      <c r="T64" s="33">
        <f t="shared" si="67"/>
        <v>2</v>
      </c>
      <c r="U64" s="33">
        <f t="shared" si="9"/>
        <v>1.3</v>
      </c>
    </row>
    <row r="65" spans="1:21" s="3" customFormat="1" ht="17.25" x14ac:dyDescent="0.25">
      <c r="A65" s="22">
        <f t="shared" si="68"/>
        <v>11</v>
      </c>
      <c r="B65" s="23" t="s">
        <v>72</v>
      </c>
      <c r="C65" s="24">
        <f t="shared" si="64"/>
        <v>25</v>
      </c>
      <c r="D65" s="25">
        <f t="shared" si="65"/>
        <v>25</v>
      </c>
      <c r="E65" s="25">
        <f t="shared" si="66"/>
        <v>0</v>
      </c>
      <c r="F65" s="26">
        <v>25</v>
      </c>
      <c r="G65" s="26">
        <v>0</v>
      </c>
      <c r="H65" s="26">
        <v>0</v>
      </c>
      <c r="I65" s="26"/>
      <c r="J65" s="42">
        <v>0</v>
      </c>
      <c r="K65" s="42">
        <v>0</v>
      </c>
      <c r="L65" s="42">
        <v>0</v>
      </c>
      <c r="M65" s="42">
        <v>0</v>
      </c>
      <c r="N65" s="37"/>
      <c r="O65" s="37"/>
      <c r="P65" s="37"/>
      <c r="Q65" s="37"/>
      <c r="R65" s="42">
        <f t="shared" si="69"/>
        <v>16.25</v>
      </c>
      <c r="S65" s="44">
        <f t="shared" si="7"/>
        <v>-8.75</v>
      </c>
      <c r="T65" s="33">
        <f t="shared" si="67"/>
        <v>0</v>
      </c>
      <c r="U65" s="33">
        <f t="shared" si="9"/>
        <v>0</v>
      </c>
    </row>
    <row r="66" spans="1:21" s="3" customFormat="1" ht="17.25" x14ac:dyDescent="0.25">
      <c r="A66" s="22">
        <f t="shared" si="68"/>
        <v>12</v>
      </c>
      <c r="B66" s="23" t="s">
        <v>10</v>
      </c>
      <c r="C66" s="24">
        <f t="shared" si="64"/>
        <v>155</v>
      </c>
      <c r="D66" s="25">
        <f t="shared" si="65"/>
        <v>13</v>
      </c>
      <c r="E66" s="25">
        <f t="shared" si="66"/>
        <v>142</v>
      </c>
      <c r="F66" s="26">
        <v>13</v>
      </c>
      <c r="G66" s="26">
        <v>1</v>
      </c>
      <c r="H66" s="26">
        <v>1</v>
      </c>
      <c r="I66" s="26">
        <v>142</v>
      </c>
      <c r="J66" s="42">
        <v>0</v>
      </c>
      <c r="K66" s="42">
        <v>0</v>
      </c>
      <c r="L66" s="42">
        <v>0</v>
      </c>
      <c r="M66" s="42">
        <v>0</v>
      </c>
      <c r="N66" s="37"/>
      <c r="O66" s="37"/>
      <c r="P66" s="37"/>
      <c r="Q66" s="37"/>
      <c r="R66" s="42">
        <f t="shared" si="69"/>
        <v>100.75</v>
      </c>
      <c r="S66" s="44">
        <f t="shared" si="7"/>
        <v>-54.25</v>
      </c>
      <c r="T66" s="33">
        <f t="shared" si="67"/>
        <v>2</v>
      </c>
      <c r="U66" s="33">
        <f t="shared" si="9"/>
        <v>1.3</v>
      </c>
    </row>
    <row r="67" spans="1:21" s="3" customFormat="1" ht="31.5" x14ac:dyDescent="0.25">
      <c r="A67" s="22">
        <f t="shared" si="68"/>
        <v>13</v>
      </c>
      <c r="B67" s="23" t="s">
        <v>59</v>
      </c>
      <c r="C67" s="24">
        <f t="shared" si="64"/>
        <v>55</v>
      </c>
      <c r="D67" s="25">
        <f t="shared" si="65"/>
        <v>55</v>
      </c>
      <c r="E67" s="25">
        <f t="shared" si="66"/>
        <v>0</v>
      </c>
      <c r="F67" s="26">
        <v>55</v>
      </c>
      <c r="G67" s="26">
        <v>1</v>
      </c>
      <c r="H67" s="26">
        <v>2</v>
      </c>
      <c r="I67" s="26"/>
      <c r="J67" s="42">
        <v>0</v>
      </c>
      <c r="K67" s="42">
        <v>0</v>
      </c>
      <c r="L67" s="42">
        <v>0</v>
      </c>
      <c r="M67" s="42">
        <v>0</v>
      </c>
      <c r="N67" s="37"/>
      <c r="O67" s="37"/>
      <c r="P67" s="37"/>
      <c r="Q67" s="37"/>
      <c r="R67" s="42">
        <f t="shared" si="69"/>
        <v>35.75</v>
      </c>
      <c r="S67" s="44">
        <f t="shared" si="7"/>
        <v>-19.25</v>
      </c>
      <c r="T67" s="33">
        <f t="shared" si="67"/>
        <v>3</v>
      </c>
      <c r="U67" s="33">
        <f t="shared" si="9"/>
        <v>1.9500000000000002</v>
      </c>
    </row>
    <row r="68" spans="1:21" s="3" customFormat="1" ht="31.5" x14ac:dyDescent="0.25">
      <c r="A68" s="22">
        <f t="shared" si="68"/>
        <v>14</v>
      </c>
      <c r="B68" s="23" t="s">
        <v>60</v>
      </c>
      <c r="C68" s="24">
        <f t="shared" si="64"/>
        <v>29</v>
      </c>
      <c r="D68" s="25">
        <f t="shared" si="65"/>
        <v>29</v>
      </c>
      <c r="E68" s="25">
        <f t="shared" si="66"/>
        <v>0</v>
      </c>
      <c r="F68" s="26">
        <v>29</v>
      </c>
      <c r="G68" s="26">
        <v>1</v>
      </c>
      <c r="H68" s="26">
        <v>2</v>
      </c>
      <c r="I68" s="26"/>
      <c r="J68" s="42">
        <v>0</v>
      </c>
      <c r="K68" s="42">
        <v>0</v>
      </c>
      <c r="L68" s="42">
        <v>0</v>
      </c>
      <c r="M68" s="42">
        <v>0</v>
      </c>
      <c r="N68" s="37"/>
      <c r="O68" s="37"/>
      <c r="P68" s="37"/>
      <c r="Q68" s="37"/>
      <c r="R68" s="42">
        <f t="shared" si="69"/>
        <v>18.850000000000001</v>
      </c>
      <c r="S68" s="44">
        <f t="shared" si="7"/>
        <v>-10.149999999999999</v>
      </c>
      <c r="T68" s="33">
        <f t="shared" si="67"/>
        <v>3</v>
      </c>
      <c r="U68" s="33">
        <f t="shared" si="9"/>
        <v>1.9500000000000002</v>
      </c>
    </row>
    <row r="69" spans="1:21" s="3" customFormat="1" ht="31.5" x14ac:dyDescent="0.25">
      <c r="A69" s="22">
        <f t="shared" si="68"/>
        <v>15</v>
      </c>
      <c r="B69" s="23" t="s">
        <v>61</v>
      </c>
      <c r="C69" s="24">
        <f t="shared" si="64"/>
        <v>28</v>
      </c>
      <c r="D69" s="25">
        <f t="shared" si="65"/>
        <v>28</v>
      </c>
      <c r="E69" s="25">
        <f t="shared" si="66"/>
        <v>0</v>
      </c>
      <c r="F69" s="26">
        <v>28</v>
      </c>
      <c r="G69" s="26">
        <v>0</v>
      </c>
      <c r="H69" s="26">
        <v>2</v>
      </c>
      <c r="I69" s="26"/>
      <c r="J69" s="42">
        <v>0</v>
      </c>
      <c r="K69" s="42">
        <v>0</v>
      </c>
      <c r="L69" s="42">
        <v>0</v>
      </c>
      <c r="M69" s="42">
        <v>0</v>
      </c>
      <c r="N69" s="37"/>
      <c r="O69" s="37"/>
      <c r="P69" s="37"/>
      <c r="Q69" s="37"/>
      <c r="R69" s="42">
        <v>0</v>
      </c>
      <c r="S69" s="44">
        <f t="shared" si="7"/>
        <v>-28</v>
      </c>
      <c r="T69" s="33">
        <f t="shared" si="67"/>
        <v>2</v>
      </c>
      <c r="U69" s="33">
        <f t="shared" si="9"/>
        <v>1.3</v>
      </c>
    </row>
    <row r="70" spans="1:21" s="7" customFormat="1" ht="31.5" x14ac:dyDescent="0.25">
      <c r="A70" s="22">
        <f t="shared" si="68"/>
        <v>16</v>
      </c>
      <c r="B70" s="23" t="s">
        <v>12</v>
      </c>
      <c r="C70" s="24">
        <f t="shared" si="64"/>
        <v>37</v>
      </c>
      <c r="D70" s="25">
        <f t="shared" si="65"/>
        <v>37</v>
      </c>
      <c r="E70" s="25">
        <f t="shared" si="66"/>
        <v>0</v>
      </c>
      <c r="F70" s="26">
        <v>37</v>
      </c>
      <c r="G70" s="26">
        <v>1</v>
      </c>
      <c r="H70" s="26">
        <v>1</v>
      </c>
      <c r="I70" s="26"/>
      <c r="J70" s="42"/>
      <c r="K70" s="42"/>
      <c r="L70" s="42"/>
      <c r="M70" s="42"/>
      <c r="N70" s="37"/>
      <c r="O70" s="37"/>
      <c r="P70" s="37"/>
      <c r="Q70" s="37"/>
      <c r="R70" s="42">
        <v>0</v>
      </c>
      <c r="S70" s="44">
        <f t="shared" si="7"/>
        <v>-37</v>
      </c>
      <c r="T70" s="33">
        <f t="shared" si="67"/>
        <v>2</v>
      </c>
      <c r="U70" s="33">
        <f t="shared" si="9"/>
        <v>1.3</v>
      </c>
    </row>
    <row r="71" spans="1:21" s="3" customFormat="1" ht="31.5" x14ac:dyDescent="0.25">
      <c r="A71" s="22">
        <f t="shared" si="68"/>
        <v>17</v>
      </c>
      <c r="B71" s="23" t="s">
        <v>62</v>
      </c>
      <c r="C71" s="24">
        <f t="shared" si="64"/>
        <v>413</v>
      </c>
      <c r="D71" s="25">
        <f t="shared" si="65"/>
        <v>413</v>
      </c>
      <c r="E71" s="25">
        <f t="shared" si="66"/>
        <v>0</v>
      </c>
      <c r="F71" s="26">
        <v>32</v>
      </c>
      <c r="G71" s="26">
        <v>0</v>
      </c>
      <c r="H71" s="26">
        <v>2</v>
      </c>
      <c r="I71" s="26"/>
      <c r="J71" s="42">
        <v>58</v>
      </c>
      <c r="K71" s="42">
        <v>0</v>
      </c>
      <c r="L71" s="42">
        <v>323</v>
      </c>
      <c r="M71" s="42">
        <v>0</v>
      </c>
      <c r="N71" s="37">
        <v>58</v>
      </c>
      <c r="O71" s="37"/>
      <c r="P71" s="37">
        <v>323</v>
      </c>
      <c r="Q71" s="37"/>
      <c r="R71" s="42">
        <f t="shared" si="69"/>
        <v>268.45000000000005</v>
      </c>
      <c r="S71" s="44">
        <f t="shared" si="7"/>
        <v>-144.54999999999995</v>
      </c>
      <c r="T71" s="33">
        <f t="shared" si="67"/>
        <v>2</v>
      </c>
      <c r="U71" s="33">
        <f t="shared" si="9"/>
        <v>1.3</v>
      </c>
    </row>
    <row r="72" spans="1:21" s="3" customFormat="1" ht="31.5" x14ac:dyDescent="0.25">
      <c r="A72" s="22">
        <f t="shared" si="68"/>
        <v>18</v>
      </c>
      <c r="B72" s="23" t="s">
        <v>63</v>
      </c>
      <c r="C72" s="24">
        <f t="shared" si="64"/>
        <v>216</v>
      </c>
      <c r="D72" s="25">
        <f t="shared" si="65"/>
        <v>216</v>
      </c>
      <c r="E72" s="25">
        <f t="shared" si="66"/>
        <v>0</v>
      </c>
      <c r="F72" s="26">
        <v>34</v>
      </c>
      <c r="G72" s="26">
        <v>1</v>
      </c>
      <c r="H72" s="26"/>
      <c r="I72" s="26"/>
      <c r="J72" s="42">
        <v>182</v>
      </c>
      <c r="K72" s="42">
        <v>0</v>
      </c>
      <c r="L72" s="42">
        <v>0</v>
      </c>
      <c r="M72" s="42">
        <v>0</v>
      </c>
      <c r="N72" s="37">
        <v>182</v>
      </c>
      <c r="O72" s="37">
        <v>0</v>
      </c>
      <c r="P72" s="37">
        <v>0</v>
      </c>
      <c r="Q72" s="37">
        <v>0</v>
      </c>
      <c r="R72" s="42">
        <v>0</v>
      </c>
      <c r="S72" s="44">
        <f t="shared" si="7"/>
        <v>-216</v>
      </c>
      <c r="T72" s="33">
        <f t="shared" si="67"/>
        <v>1</v>
      </c>
      <c r="U72" s="33">
        <f t="shared" si="9"/>
        <v>0.65</v>
      </c>
    </row>
    <row r="73" spans="1:21" s="7" customFormat="1" ht="31.5" x14ac:dyDescent="0.25">
      <c r="A73" s="22">
        <f t="shared" si="68"/>
        <v>19</v>
      </c>
      <c r="B73" s="23" t="s">
        <v>11</v>
      </c>
      <c r="C73" s="24">
        <f t="shared" ref="C73:C83" si="70">SUM(D73:E73)</f>
        <v>26</v>
      </c>
      <c r="D73" s="25">
        <f t="shared" ref="D73:D83" si="71">SUM(F73,J73,L73)</f>
        <v>26</v>
      </c>
      <c r="E73" s="25">
        <f t="shared" si="56"/>
        <v>0</v>
      </c>
      <c r="F73" s="26">
        <v>26</v>
      </c>
      <c r="G73" s="26">
        <v>1</v>
      </c>
      <c r="H73" s="26">
        <v>1</v>
      </c>
      <c r="I73" s="26"/>
      <c r="J73" s="42"/>
      <c r="K73" s="42"/>
      <c r="L73" s="42"/>
      <c r="M73" s="42"/>
      <c r="N73" s="37"/>
      <c r="O73" s="37"/>
      <c r="P73" s="37"/>
      <c r="Q73" s="37"/>
      <c r="R73" s="42">
        <v>0</v>
      </c>
      <c r="S73" s="44">
        <f t="shared" si="7"/>
        <v>-26</v>
      </c>
      <c r="T73" s="33">
        <f t="shared" si="8"/>
        <v>2</v>
      </c>
      <c r="U73" s="33">
        <f t="shared" si="9"/>
        <v>1.3</v>
      </c>
    </row>
    <row r="74" spans="1:21" s="3" customFormat="1" ht="31.5" x14ac:dyDescent="0.25">
      <c r="A74" s="22">
        <f t="shared" si="68"/>
        <v>20</v>
      </c>
      <c r="B74" s="23" t="s">
        <v>58</v>
      </c>
      <c r="C74" s="24">
        <f t="shared" si="70"/>
        <v>24</v>
      </c>
      <c r="D74" s="25">
        <f t="shared" si="71"/>
        <v>24</v>
      </c>
      <c r="E74" s="25">
        <f t="shared" si="56"/>
        <v>0</v>
      </c>
      <c r="F74" s="26">
        <v>24</v>
      </c>
      <c r="G74" s="26">
        <v>1</v>
      </c>
      <c r="H74" s="26">
        <v>1</v>
      </c>
      <c r="I74" s="26"/>
      <c r="J74" s="42">
        <v>0</v>
      </c>
      <c r="K74" s="42">
        <v>0</v>
      </c>
      <c r="L74" s="42">
        <v>0</v>
      </c>
      <c r="M74" s="42">
        <v>0</v>
      </c>
      <c r="N74" s="37"/>
      <c r="O74" s="37"/>
      <c r="P74" s="37"/>
      <c r="Q74" s="37"/>
      <c r="R74" s="42">
        <v>0</v>
      </c>
      <c r="S74" s="44">
        <f t="shared" si="7"/>
        <v>-24</v>
      </c>
      <c r="T74" s="33">
        <f t="shared" si="8"/>
        <v>2</v>
      </c>
      <c r="U74" s="33">
        <f t="shared" si="9"/>
        <v>1.3</v>
      </c>
    </row>
    <row r="75" spans="1:21" s="3" customFormat="1" ht="17.25" x14ac:dyDescent="0.25">
      <c r="A75" s="22">
        <f t="shared" si="68"/>
        <v>21</v>
      </c>
      <c r="B75" s="23" t="s">
        <v>66</v>
      </c>
      <c r="C75" s="24">
        <f t="shared" ref="C75:C78" si="72">SUM(D75:E75)</f>
        <v>51</v>
      </c>
      <c r="D75" s="25">
        <f t="shared" ref="D75:D76" si="73">SUM(F75,J75,L75)</f>
        <v>51</v>
      </c>
      <c r="E75" s="25">
        <f t="shared" ref="E75:E76" si="74">SUM(I75,K75,M75)</f>
        <v>0</v>
      </c>
      <c r="F75" s="26">
        <v>51</v>
      </c>
      <c r="G75" s="26">
        <v>0</v>
      </c>
      <c r="H75" s="26">
        <v>1</v>
      </c>
      <c r="I75" s="26"/>
      <c r="J75" s="42">
        <v>0</v>
      </c>
      <c r="K75" s="42">
        <v>0</v>
      </c>
      <c r="L75" s="42">
        <v>0</v>
      </c>
      <c r="M75" s="42">
        <v>0</v>
      </c>
      <c r="N75" s="37"/>
      <c r="O75" s="37"/>
      <c r="P75" s="37"/>
      <c r="Q75" s="37"/>
      <c r="R75" s="42">
        <f t="shared" ref="R75" si="75">+C75-(C75*0.35)</f>
        <v>33.150000000000006</v>
      </c>
      <c r="S75" s="44">
        <f t="shared" ref="S75:S108" si="76">+R75-C75</f>
        <v>-17.849999999999994</v>
      </c>
      <c r="T75" s="33">
        <f t="shared" ref="T75:T76" si="77">+(G75+H75)</f>
        <v>1</v>
      </c>
      <c r="U75" s="33">
        <f t="shared" si="9"/>
        <v>0.65</v>
      </c>
    </row>
    <row r="76" spans="1:21" s="3" customFormat="1" ht="31.5" x14ac:dyDescent="0.25">
      <c r="A76" s="22">
        <f t="shared" si="68"/>
        <v>22</v>
      </c>
      <c r="B76" s="23" t="s">
        <v>68</v>
      </c>
      <c r="C76" s="24">
        <f t="shared" si="72"/>
        <v>32</v>
      </c>
      <c r="D76" s="25">
        <f t="shared" si="73"/>
        <v>32</v>
      </c>
      <c r="E76" s="25">
        <f t="shared" si="74"/>
        <v>0</v>
      </c>
      <c r="F76" s="26">
        <v>32</v>
      </c>
      <c r="G76" s="26">
        <v>1</v>
      </c>
      <c r="H76" s="26"/>
      <c r="I76" s="26"/>
      <c r="J76" s="42">
        <v>0</v>
      </c>
      <c r="K76" s="42">
        <v>0</v>
      </c>
      <c r="L76" s="42">
        <v>0</v>
      </c>
      <c r="M76" s="42">
        <v>0</v>
      </c>
      <c r="N76" s="37"/>
      <c r="O76" s="37"/>
      <c r="P76" s="37"/>
      <c r="Q76" s="37"/>
      <c r="R76" s="42">
        <v>0</v>
      </c>
      <c r="S76" s="44">
        <f t="shared" si="76"/>
        <v>-32</v>
      </c>
      <c r="T76" s="33">
        <f t="shared" si="77"/>
        <v>1</v>
      </c>
      <c r="U76" s="33">
        <f t="shared" si="9"/>
        <v>0.65</v>
      </c>
    </row>
    <row r="77" spans="1:21" s="3" customFormat="1" ht="31.5" x14ac:dyDescent="0.25">
      <c r="A77" s="22">
        <f t="shared" si="68"/>
        <v>23</v>
      </c>
      <c r="B77" s="23" t="s">
        <v>54</v>
      </c>
      <c r="C77" s="24">
        <f t="shared" si="72"/>
        <v>48</v>
      </c>
      <c r="D77" s="25">
        <f t="shared" ref="D77:D78" si="78">SUM(F77,J77,L77)</f>
        <v>48</v>
      </c>
      <c r="E77" s="25">
        <f t="shared" ref="E77:E78" si="79">SUM(I77,K77,M77)</f>
        <v>0</v>
      </c>
      <c r="F77" s="26">
        <v>48</v>
      </c>
      <c r="G77" s="26">
        <v>1</v>
      </c>
      <c r="H77" s="26">
        <v>1</v>
      </c>
      <c r="I77" s="26"/>
      <c r="J77" s="42">
        <v>0</v>
      </c>
      <c r="K77" s="42">
        <v>0</v>
      </c>
      <c r="L77" s="42">
        <v>0</v>
      </c>
      <c r="M77" s="42">
        <v>0</v>
      </c>
      <c r="N77" s="37"/>
      <c r="O77" s="37"/>
      <c r="P77" s="37"/>
      <c r="Q77" s="37"/>
      <c r="R77" s="42">
        <v>0</v>
      </c>
      <c r="S77" s="44">
        <f t="shared" si="76"/>
        <v>-48</v>
      </c>
      <c r="T77" s="33">
        <f t="shared" ref="T77:T78" si="80">+(G77+H77)</f>
        <v>2</v>
      </c>
      <c r="U77" s="33">
        <f t="shared" si="9"/>
        <v>1.3</v>
      </c>
    </row>
    <row r="78" spans="1:21" s="7" customFormat="1" ht="31.5" x14ac:dyDescent="0.25">
      <c r="A78" s="22">
        <f t="shared" si="68"/>
        <v>24</v>
      </c>
      <c r="B78" s="23" t="s">
        <v>15</v>
      </c>
      <c r="C78" s="24">
        <f t="shared" si="72"/>
        <v>20</v>
      </c>
      <c r="D78" s="25">
        <f t="shared" si="78"/>
        <v>20</v>
      </c>
      <c r="E78" s="25">
        <f t="shared" si="79"/>
        <v>0</v>
      </c>
      <c r="F78" s="26">
        <v>20</v>
      </c>
      <c r="G78" s="26">
        <v>1</v>
      </c>
      <c r="H78" s="26">
        <v>1</v>
      </c>
      <c r="I78" s="26"/>
      <c r="J78" s="42">
        <v>0</v>
      </c>
      <c r="K78" s="42">
        <v>0</v>
      </c>
      <c r="L78" s="42">
        <v>0</v>
      </c>
      <c r="M78" s="42">
        <v>0</v>
      </c>
      <c r="N78" s="37"/>
      <c r="O78" s="37"/>
      <c r="P78" s="37"/>
      <c r="Q78" s="37"/>
      <c r="R78" s="42">
        <v>0</v>
      </c>
      <c r="S78" s="44">
        <f t="shared" si="76"/>
        <v>-20</v>
      </c>
      <c r="T78" s="33">
        <f t="shared" si="80"/>
        <v>2</v>
      </c>
      <c r="U78" s="33">
        <f t="shared" si="9"/>
        <v>1.3</v>
      </c>
    </row>
    <row r="79" spans="1:21" s="3" customFormat="1" ht="31.5" x14ac:dyDescent="0.25">
      <c r="A79" s="22">
        <f t="shared" si="68"/>
        <v>25</v>
      </c>
      <c r="B79" s="23" t="s">
        <v>65</v>
      </c>
      <c r="C79" s="24">
        <f t="shared" si="70"/>
        <v>108</v>
      </c>
      <c r="D79" s="25">
        <f t="shared" si="71"/>
        <v>108</v>
      </c>
      <c r="E79" s="25">
        <f t="shared" si="56"/>
        <v>0</v>
      </c>
      <c r="F79" s="26">
        <f>80+28</f>
        <v>108</v>
      </c>
      <c r="G79" s="26">
        <v>1</v>
      </c>
      <c r="H79" s="26">
        <v>2</v>
      </c>
      <c r="I79" s="26"/>
      <c r="J79" s="42">
        <v>0</v>
      </c>
      <c r="K79" s="42">
        <v>0</v>
      </c>
      <c r="L79" s="42">
        <v>0</v>
      </c>
      <c r="M79" s="42">
        <v>0</v>
      </c>
      <c r="N79" s="37"/>
      <c r="O79" s="37"/>
      <c r="P79" s="37"/>
      <c r="Q79" s="37"/>
      <c r="R79" s="42">
        <v>0</v>
      </c>
      <c r="S79" s="44">
        <f t="shared" si="76"/>
        <v>-108</v>
      </c>
      <c r="T79" s="33">
        <f t="shared" si="8"/>
        <v>3</v>
      </c>
      <c r="U79" s="33">
        <f t="shared" si="9"/>
        <v>1.9500000000000002</v>
      </c>
    </row>
    <row r="80" spans="1:21" s="7" customFormat="1" ht="31.5" x14ac:dyDescent="0.25">
      <c r="A80" s="22">
        <f t="shared" si="68"/>
        <v>26</v>
      </c>
      <c r="B80" s="23" t="s">
        <v>75</v>
      </c>
      <c r="C80" s="24">
        <f t="shared" ref="C80" si="81">SUM(D80:E80)</f>
        <v>210</v>
      </c>
      <c r="D80" s="25">
        <f t="shared" ref="D80" si="82">SUM(F80,J80,L80)</f>
        <v>210</v>
      </c>
      <c r="E80" s="25">
        <f t="shared" ref="E80" si="83">SUM(I80,K80,M80)</f>
        <v>0</v>
      </c>
      <c r="F80" s="26">
        <v>65</v>
      </c>
      <c r="G80" s="26">
        <v>1</v>
      </c>
      <c r="H80" s="26">
        <v>2</v>
      </c>
      <c r="I80" s="26"/>
      <c r="J80" s="42">
        <v>145</v>
      </c>
      <c r="K80" s="42">
        <v>0</v>
      </c>
      <c r="L80" s="42">
        <v>0</v>
      </c>
      <c r="M80" s="42">
        <v>0</v>
      </c>
      <c r="N80" s="37">
        <v>145</v>
      </c>
      <c r="O80" s="37"/>
      <c r="P80" s="37"/>
      <c r="Q80" s="37"/>
      <c r="R80" s="42">
        <f t="shared" ref="R80" si="84">+C80-(C80*0.35)</f>
        <v>136.5</v>
      </c>
      <c r="S80" s="44">
        <f t="shared" si="76"/>
        <v>-73.5</v>
      </c>
      <c r="T80" s="33">
        <f t="shared" si="8"/>
        <v>3</v>
      </c>
      <c r="U80" s="33">
        <f t="shared" si="9"/>
        <v>1.9500000000000002</v>
      </c>
    </row>
    <row r="81" spans="1:21" s="3" customFormat="1" ht="47.25" x14ac:dyDescent="0.25">
      <c r="A81" s="22">
        <f t="shared" si="68"/>
        <v>27</v>
      </c>
      <c r="B81" s="23" t="s">
        <v>57</v>
      </c>
      <c r="C81" s="24">
        <f t="shared" ref="C81" si="85">SUM(D81:E81)</f>
        <v>9581</v>
      </c>
      <c r="D81" s="25">
        <f t="shared" ref="D81" si="86">SUM(F81,J81,L81)</f>
        <v>9581</v>
      </c>
      <c r="E81" s="25">
        <f t="shared" ref="E81" si="87">SUM(I81,K81,M81)</f>
        <v>0</v>
      </c>
      <c r="F81" s="26">
        <v>62</v>
      </c>
      <c r="G81" s="26">
        <v>1</v>
      </c>
      <c r="H81" s="26">
        <v>1</v>
      </c>
      <c r="I81" s="26"/>
      <c r="J81" s="42">
        <v>210</v>
      </c>
      <c r="K81" s="42">
        <v>0</v>
      </c>
      <c r="L81" s="42">
        <v>9309</v>
      </c>
      <c r="M81" s="42">
        <v>0</v>
      </c>
      <c r="N81" s="37">
        <v>210</v>
      </c>
      <c r="O81" s="37">
        <v>0</v>
      </c>
      <c r="P81" s="37">
        <v>0</v>
      </c>
      <c r="Q81" s="37">
        <v>0</v>
      </c>
      <c r="R81" s="42">
        <f>+C81-95</f>
        <v>9486</v>
      </c>
      <c r="S81" s="44">
        <f t="shared" si="76"/>
        <v>-95</v>
      </c>
      <c r="T81" s="33">
        <f t="shared" ref="T81" si="88">+(G81+H81)</f>
        <v>2</v>
      </c>
      <c r="U81" s="33">
        <f t="shared" si="9"/>
        <v>1.3</v>
      </c>
    </row>
    <row r="82" spans="1:21" s="3" customFormat="1" ht="17.25" x14ac:dyDescent="0.25">
      <c r="A82" s="22">
        <f t="shared" si="68"/>
        <v>28</v>
      </c>
      <c r="B82" s="23" t="s">
        <v>67</v>
      </c>
      <c r="C82" s="24">
        <f t="shared" si="70"/>
        <v>1341</v>
      </c>
      <c r="D82" s="25">
        <f t="shared" si="71"/>
        <v>1341</v>
      </c>
      <c r="E82" s="25">
        <f t="shared" si="56"/>
        <v>0</v>
      </c>
      <c r="F82" s="26">
        <v>111</v>
      </c>
      <c r="G82" s="26">
        <v>1</v>
      </c>
      <c r="H82" s="26">
        <v>1</v>
      </c>
      <c r="I82" s="26"/>
      <c r="J82" s="42">
        <v>224</v>
      </c>
      <c r="K82" s="42">
        <v>0</v>
      </c>
      <c r="L82" s="42">
        <v>1006</v>
      </c>
      <c r="M82" s="42">
        <v>0</v>
      </c>
      <c r="N82" s="37">
        <v>224</v>
      </c>
      <c r="O82" s="37">
        <v>0</v>
      </c>
      <c r="P82" s="37">
        <v>1006</v>
      </c>
      <c r="Q82" s="37">
        <v>0</v>
      </c>
      <c r="R82" s="42">
        <f t="shared" si="32"/>
        <v>871.65000000000009</v>
      </c>
      <c r="S82" s="44">
        <f t="shared" si="76"/>
        <v>-469.34999999999991</v>
      </c>
      <c r="T82" s="33">
        <f t="shared" si="8"/>
        <v>2</v>
      </c>
      <c r="U82" s="33">
        <f t="shared" si="9"/>
        <v>1.3</v>
      </c>
    </row>
    <row r="83" spans="1:21" s="3" customFormat="1" ht="31.5" x14ac:dyDescent="0.25">
      <c r="A83" s="22">
        <f t="shared" si="68"/>
        <v>29</v>
      </c>
      <c r="B83" s="23" t="s">
        <v>76</v>
      </c>
      <c r="C83" s="24">
        <f t="shared" si="70"/>
        <v>185</v>
      </c>
      <c r="D83" s="25">
        <f t="shared" si="71"/>
        <v>152</v>
      </c>
      <c r="E83" s="25">
        <f t="shared" si="56"/>
        <v>33</v>
      </c>
      <c r="F83" s="26">
        <v>152</v>
      </c>
      <c r="G83" s="26">
        <v>1</v>
      </c>
      <c r="H83" s="26">
        <v>1</v>
      </c>
      <c r="I83" s="26">
        <v>33</v>
      </c>
      <c r="J83" s="42">
        <v>0</v>
      </c>
      <c r="K83" s="42">
        <v>0</v>
      </c>
      <c r="L83" s="42">
        <v>0</v>
      </c>
      <c r="M83" s="42">
        <v>0</v>
      </c>
      <c r="N83" s="37"/>
      <c r="O83" s="37"/>
      <c r="P83" s="37"/>
      <c r="Q83" s="37"/>
      <c r="R83" s="42">
        <f t="shared" si="32"/>
        <v>120.25</v>
      </c>
      <c r="S83" s="44">
        <f t="shared" si="76"/>
        <v>-64.75</v>
      </c>
      <c r="T83" s="33">
        <f>+(G83+H83)</f>
        <v>2</v>
      </c>
      <c r="U83" s="33">
        <f t="shared" ref="U83:U96" si="89">+T83-(T83*0.35)</f>
        <v>1.3</v>
      </c>
    </row>
    <row r="84" spans="1:21" ht="17.25" x14ac:dyDescent="0.25">
      <c r="A84" s="156" t="s">
        <v>106</v>
      </c>
      <c r="B84" s="156"/>
      <c r="C84" s="19">
        <f t="shared" ref="C84:S84" si="90">SUM(C85:C108)</f>
        <v>8613</v>
      </c>
      <c r="D84" s="19">
        <f t="shared" si="90"/>
        <v>3584</v>
      </c>
      <c r="E84" s="19">
        <f t="shared" si="90"/>
        <v>5029</v>
      </c>
      <c r="F84" s="19">
        <f t="shared" si="90"/>
        <v>1263</v>
      </c>
      <c r="G84" s="19">
        <f t="shared" si="90"/>
        <v>9</v>
      </c>
      <c r="H84" s="19">
        <f t="shared" si="90"/>
        <v>22</v>
      </c>
      <c r="I84" s="19">
        <f t="shared" si="90"/>
        <v>484</v>
      </c>
      <c r="J84" s="19">
        <f t="shared" si="90"/>
        <v>1222</v>
      </c>
      <c r="K84" s="19">
        <f t="shared" si="90"/>
        <v>1591</v>
      </c>
      <c r="L84" s="19">
        <f t="shared" si="90"/>
        <v>1099</v>
      </c>
      <c r="M84" s="19">
        <f t="shared" si="90"/>
        <v>2954</v>
      </c>
      <c r="N84" s="9">
        <f t="shared" si="90"/>
        <v>784</v>
      </c>
      <c r="O84" s="9">
        <f t="shared" si="90"/>
        <v>1591</v>
      </c>
      <c r="P84" s="9">
        <f t="shared" si="90"/>
        <v>1099</v>
      </c>
      <c r="Q84" s="9">
        <f t="shared" si="90"/>
        <v>2954</v>
      </c>
      <c r="R84" s="19">
        <f t="shared" si="90"/>
        <v>4353.7</v>
      </c>
      <c r="S84" s="46">
        <f t="shared" si="90"/>
        <v>-4259.3000000000011</v>
      </c>
      <c r="T84" s="33">
        <f>+(G84+H84)</f>
        <v>31</v>
      </c>
      <c r="U84" s="33">
        <f t="shared" si="89"/>
        <v>20.149999999999999</v>
      </c>
    </row>
    <row r="85" spans="1:21" s="3" customFormat="1" ht="31.5" x14ac:dyDescent="0.25">
      <c r="A85" s="22">
        <v>1</v>
      </c>
      <c r="B85" s="23" t="s">
        <v>77</v>
      </c>
      <c r="C85" s="24">
        <f t="shared" ref="C85:C96" si="91">SUM(D85:E85)</f>
        <v>1593</v>
      </c>
      <c r="D85" s="25">
        <f t="shared" ref="D85:D96" si="92">SUM(F85,J85,L85)</f>
        <v>666</v>
      </c>
      <c r="E85" s="25">
        <f t="shared" ref="E85:E108" si="93">SUM(I85,K85,M85)</f>
        <v>927</v>
      </c>
      <c r="F85" s="26">
        <v>75</v>
      </c>
      <c r="G85" s="26">
        <v>1</v>
      </c>
      <c r="H85" s="26">
        <v>3</v>
      </c>
      <c r="I85" s="26"/>
      <c r="J85" s="42">
        <v>314</v>
      </c>
      <c r="K85" s="42">
        <v>0</v>
      </c>
      <c r="L85" s="42">
        <v>277</v>
      </c>
      <c r="M85" s="42">
        <v>927</v>
      </c>
      <c r="N85" s="37">
        <v>314</v>
      </c>
      <c r="O85" s="37"/>
      <c r="P85" s="37">
        <v>277</v>
      </c>
      <c r="Q85" s="37">
        <v>927</v>
      </c>
      <c r="R85" s="42">
        <v>0</v>
      </c>
      <c r="S85" s="44">
        <f t="shared" si="76"/>
        <v>-1593</v>
      </c>
      <c r="T85" s="33">
        <f>+(G85+H85)</f>
        <v>4</v>
      </c>
      <c r="U85" s="33">
        <f t="shared" si="89"/>
        <v>2.6</v>
      </c>
    </row>
    <row r="86" spans="1:21" s="3" customFormat="1" ht="31.5" x14ac:dyDescent="0.25">
      <c r="A86" s="22">
        <f t="shared" ref="A86:A108" si="94">+A85+1</f>
        <v>2</v>
      </c>
      <c r="B86" s="23" t="s">
        <v>86</v>
      </c>
      <c r="C86" s="24">
        <f t="shared" ref="C86:C88" si="95">SUM(D86:E86)</f>
        <v>132</v>
      </c>
      <c r="D86" s="25">
        <f t="shared" ref="D86:D92" si="96">SUM(F86,J86,L86)</f>
        <v>108</v>
      </c>
      <c r="E86" s="25">
        <f t="shared" si="93"/>
        <v>24</v>
      </c>
      <c r="F86" s="26">
        <v>108</v>
      </c>
      <c r="G86" s="26">
        <v>1</v>
      </c>
      <c r="H86" s="26">
        <v>1</v>
      </c>
      <c r="I86" s="26">
        <v>24</v>
      </c>
      <c r="J86" s="42">
        <v>0</v>
      </c>
      <c r="K86" s="42">
        <v>0</v>
      </c>
      <c r="L86" s="42">
        <v>0</v>
      </c>
      <c r="M86" s="42">
        <v>0</v>
      </c>
      <c r="N86" s="37"/>
      <c r="O86" s="37"/>
      <c r="P86" s="37"/>
      <c r="Q86" s="37"/>
      <c r="R86" s="42">
        <v>0</v>
      </c>
      <c r="S86" s="44">
        <f t="shared" si="76"/>
        <v>-132</v>
      </c>
      <c r="T86" s="33">
        <f>+(G86+H86)</f>
        <v>2</v>
      </c>
      <c r="U86" s="33">
        <f t="shared" si="89"/>
        <v>1.3</v>
      </c>
    </row>
    <row r="87" spans="1:21" s="3" customFormat="1" ht="31.5" x14ac:dyDescent="0.25">
      <c r="A87" s="22">
        <f t="shared" si="94"/>
        <v>3</v>
      </c>
      <c r="B87" s="23" t="s">
        <v>81</v>
      </c>
      <c r="C87" s="24">
        <f t="shared" si="95"/>
        <v>33</v>
      </c>
      <c r="D87" s="25">
        <f t="shared" si="96"/>
        <v>33</v>
      </c>
      <c r="E87" s="25">
        <f t="shared" si="93"/>
        <v>0</v>
      </c>
      <c r="F87" s="26">
        <v>9</v>
      </c>
      <c r="G87" s="26"/>
      <c r="H87" s="26">
        <v>1</v>
      </c>
      <c r="I87" s="26"/>
      <c r="J87" s="42">
        <v>24</v>
      </c>
      <c r="K87" s="42">
        <v>0</v>
      </c>
      <c r="L87" s="42">
        <v>0</v>
      </c>
      <c r="M87" s="42">
        <v>0</v>
      </c>
      <c r="N87" s="37">
        <v>24</v>
      </c>
      <c r="O87" s="37"/>
      <c r="P87" s="37"/>
      <c r="Q87" s="37"/>
      <c r="R87" s="42">
        <v>0</v>
      </c>
      <c r="S87" s="44">
        <f t="shared" si="76"/>
        <v>-33</v>
      </c>
      <c r="T87" s="33">
        <f>+(G87+H87)</f>
        <v>1</v>
      </c>
      <c r="U87" s="33">
        <f t="shared" si="89"/>
        <v>0.65</v>
      </c>
    </row>
    <row r="88" spans="1:21" s="3" customFormat="1" ht="31.5" x14ac:dyDescent="0.25">
      <c r="A88" s="22">
        <f t="shared" si="94"/>
        <v>4</v>
      </c>
      <c r="B88" s="23" t="s">
        <v>85</v>
      </c>
      <c r="C88" s="24">
        <f t="shared" si="95"/>
        <v>194</v>
      </c>
      <c r="D88" s="25">
        <f t="shared" si="96"/>
        <v>109</v>
      </c>
      <c r="E88" s="25">
        <f t="shared" ref="E88:E92" si="97">SUM(I88,K88,M88)</f>
        <v>85</v>
      </c>
      <c r="F88" s="26">
        <v>20</v>
      </c>
      <c r="G88" s="26"/>
      <c r="H88" s="26">
        <v>1</v>
      </c>
      <c r="I88" s="26">
        <v>85</v>
      </c>
      <c r="J88" s="42">
        <v>89</v>
      </c>
      <c r="K88" s="42">
        <v>0</v>
      </c>
      <c r="L88" s="42">
        <v>0</v>
      </c>
      <c r="M88" s="42">
        <v>0</v>
      </c>
      <c r="N88" s="37">
        <v>89</v>
      </c>
      <c r="O88" s="37"/>
      <c r="P88" s="37"/>
      <c r="Q88" s="37"/>
      <c r="R88" s="42">
        <f t="shared" ref="R88:R92" si="98">+C88-(C88*0.35)</f>
        <v>126.10000000000001</v>
      </c>
      <c r="S88" s="44">
        <f t="shared" si="76"/>
        <v>-67.899999999999991</v>
      </c>
      <c r="T88" s="33">
        <f t="shared" ref="T88:T92" si="99">+(G88+H88)</f>
        <v>1</v>
      </c>
      <c r="U88" s="33">
        <f t="shared" ref="U88:U92" si="100">+T88-(T88*0.35)</f>
        <v>0.65</v>
      </c>
    </row>
    <row r="89" spans="1:21" s="3" customFormat="1" ht="47.25" x14ac:dyDescent="0.25">
      <c r="A89" s="22">
        <f t="shared" si="94"/>
        <v>5</v>
      </c>
      <c r="B89" s="23" t="s">
        <v>118</v>
      </c>
      <c r="C89" s="24">
        <f t="shared" ref="C89:C92" si="101">SUM(D89:E89)</f>
        <v>89</v>
      </c>
      <c r="D89" s="25">
        <f t="shared" si="96"/>
        <v>89</v>
      </c>
      <c r="E89" s="25">
        <f t="shared" si="97"/>
        <v>0</v>
      </c>
      <c r="F89" s="26">
        <v>89</v>
      </c>
      <c r="G89" s="26"/>
      <c r="H89" s="26"/>
      <c r="I89" s="26"/>
      <c r="J89" s="42">
        <v>0</v>
      </c>
      <c r="K89" s="42">
        <v>0</v>
      </c>
      <c r="L89" s="42">
        <v>0</v>
      </c>
      <c r="M89" s="42">
        <v>0</v>
      </c>
      <c r="N89" s="37"/>
      <c r="O89" s="37"/>
      <c r="P89" s="37"/>
      <c r="Q89" s="37"/>
      <c r="R89" s="42">
        <f t="shared" si="98"/>
        <v>57.85</v>
      </c>
      <c r="S89" s="44">
        <f t="shared" si="76"/>
        <v>-31.15</v>
      </c>
      <c r="T89" s="33">
        <f t="shared" si="99"/>
        <v>0</v>
      </c>
      <c r="U89" s="33">
        <f t="shared" si="100"/>
        <v>0</v>
      </c>
    </row>
    <row r="90" spans="1:21" s="3" customFormat="1" ht="33" customHeight="1" x14ac:dyDescent="0.25">
      <c r="A90" s="22">
        <f t="shared" si="94"/>
        <v>6</v>
      </c>
      <c r="B90" s="23" t="s">
        <v>84</v>
      </c>
      <c r="C90" s="24">
        <f t="shared" si="101"/>
        <v>73</v>
      </c>
      <c r="D90" s="25">
        <f t="shared" si="96"/>
        <v>73</v>
      </c>
      <c r="E90" s="25">
        <f t="shared" si="97"/>
        <v>0</v>
      </c>
      <c r="F90" s="26">
        <v>73</v>
      </c>
      <c r="G90" s="26"/>
      <c r="H90" s="26"/>
      <c r="I90" s="26"/>
      <c r="J90" s="42">
        <v>0</v>
      </c>
      <c r="K90" s="42">
        <v>0</v>
      </c>
      <c r="L90" s="42">
        <v>0</v>
      </c>
      <c r="M90" s="42">
        <v>0</v>
      </c>
      <c r="N90" s="37"/>
      <c r="O90" s="37"/>
      <c r="P90" s="37"/>
      <c r="Q90" s="37"/>
      <c r="R90" s="42">
        <f t="shared" si="98"/>
        <v>47.45</v>
      </c>
      <c r="S90" s="44">
        <f t="shared" si="76"/>
        <v>-25.549999999999997</v>
      </c>
      <c r="T90" s="33">
        <f t="shared" si="99"/>
        <v>0</v>
      </c>
      <c r="U90" s="33">
        <f t="shared" si="100"/>
        <v>0</v>
      </c>
    </row>
    <row r="91" spans="1:21" s="7" customFormat="1" ht="31.5" x14ac:dyDescent="0.25">
      <c r="A91" s="22">
        <f t="shared" si="94"/>
        <v>7</v>
      </c>
      <c r="B91" s="23" t="s">
        <v>13</v>
      </c>
      <c r="C91" s="24">
        <f t="shared" si="101"/>
        <v>34</v>
      </c>
      <c r="D91" s="25">
        <f t="shared" si="96"/>
        <v>34</v>
      </c>
      <c r="E91" s="25">
        <f t="shared" si="97"/>
        <v>0</v>
      </c>
      <c r="F91" s="26">
        <v>34</v>
      </c>
      <c r="G91" s="26"/>
      <c r="H91" s="26"/>
      <c r="I91" s="26"/>
      <c r="J91" s="42"/>
      <c r="K91" s="42"/>
      <c r="L91" s="42"/>
      <c r="M91" s="42"/>
      <c r="N91" s="37"/>
      <c r="O91" s="37"/>
      <c r="P91" s="37"/>
      <c r="Q91" s="37"/>
      <c r="R91" s="42">
        <f t="shared" si="98"/>
        <v>22.1</v>
      </c>
      <c r="S91" s="44">
        <f t="shared" si="76"/>
        <v>-11.899999999999999</v>
      </c>
      <c r="T91" s="33">
        <f t="shared" si="99"/>
        <v>0</v>
      </c>
      <c r="U91" s="33">
        <f t="shared" si="100"/>
        <v>0</v>
      </c>
    </row>
    <row r="92" spans="1:21" s="3" customFormat="1" ht="31.5" x14ac:dyDescent="0.25">
      <c r="A92" s="22">
        <f t="shared" si="94"/>
        <v>8</v>
      </c>
      <c r="B92" s="23" t="s">
        <v>80</v>
      </c>
      <c r="C92" s="24">
        <f t="shared" si="101"/>
        <v>89</v>
      </c>
      <c r="D92" s="25">
        <f t="shared" si="96"/>
        <v>59</v>
      </c>
      <c r="E92" s="25">
        <f t="shared" si="97"/>
        <v>30</v>
      </c>
      <c r="F92" s="26">
        <v>59</v>
      </c>
      <c r="G92" s="26"/>
      <c r="H92" s="26">
        <v>1</v>
      </c>
      <c r="I92" s="26">
        <v>30</v>
      </c>
      <c r="J92" s="42">
        <v>0</v>
      </c>
      <c r="K92" s="42">
        <v>0</v>
      </c>
      <c r="L92" s="42">
        <v>0</v>
      </c>
      <c r="M92" s="42">
        <v>0</v>
      </c>
      <c r="N92" s="37"/>
      <c r="O92" s="37"/>
      <c r="P92" s="37"/>
      <c r="Q92" s="37"/>
      <c r="R92" s="42">
        <f t="shared" si="98"/>
        <v>57.85</v>
      </c>
      <c r="S92" s="44">
        <f t="shared" si="76"/>
        <v>-31.15</v>
      </c>
      <c r="T92" s="33">
        <f t="shared" si="99"/>
        <v>1</v>
      </c>
      <c r="U92" s="33">
        <f t="shared" si="100"/>
        <v>0.65</v>
      </c>
    </row>
    <row r="93" spans="1:21" s="3" customFormat="1" ht="31.5" x14ac:dyDescent="0.25">
      <c r="A93" s="22">
        <f t="shared" si="94"/>
        <v>9</v>
      </c>
      <c r="B93" s="23" t="s">
        <v>78</v>
      </c>
      <c r="C93" s="24">
        <f t="shared" si="91"/>
        <v>198</v>
      </c>
      <c r="D93" s="25">
        <f t="shared" si="92"/>
        <v>198</v>
      </c>
      <c r="E93" s="25">
        <f t="shared" si="93"/>
        <v>0</v>
      </c>
      <c r="F93" s="26">
        <v>198</v>
      </c>
      <c r="G93" s="26"/>
      <c r="H93" s="26">
        <v>1</v>
      </c>
      <c r="I93" s="26"/>
      <c r="J93" s="42">
        <v>0</v>
      </c>
      <c r="K93" s="42">
        <v>0</v>
      </c>
      <c r="L93" s="42">
        <v>0</v>
      </c>
      <c r="M93" s="42">
        <v>0</v>
      </c>
      <c r="N93" s="37"/>
      <c r="O93" s="37"/>
      <c r="P93" s="37"/>
      <c r="Q93" s="37"/>
      <c r="R93" s="42">
        <f t="shared" si="32"/>
        <v>128.69999999999999</v>
      </c>
      <c r="S93" s="44">
        <f t="shared" si="76"/>
        <v>-69.300000000000011</v>
      </c>
      <c r="T93" s="33">
        <f>+(G93+H93)</f>
        <v>1</v>
      </c>
      <c r="U93" s="33">
        <f t="shared" si="89"/>
        <v>0.65</v>
      </c>
    </row>
    <row r="94" spans="1:21" s="3" customFormat="1" ht="31.5" x14ac:dyDescent="0.25">
      <c r="A94" s="22">
        <f t="shared" si="94"/>
        <v>10</v>
      </c>
      <c r="B94" s="23" t="s">
        <v>79</v>
      </c>
      <c r="C94" s="24">
        <f t="shared" si="91"/>
        <v>33</v>
      </c>
      <c r="D94" s="25">
        <f t="shared" si="92"/>
        <v>33</v>
      </c>
      <c r="E94" s="25">
        <f t="shared" si="93"/>
        <v>0</v>
      </c>
      <c r="F94" s="26">
        <v>33</v>
      </c>
      <c r="G94" s="26"/>
      <c r="H94" s="26">
        <v>1</v>
      </c>
      <c r="I94" s="26"/>
      <c r="J94" s="42">
        <v>0</v>
      </c>
      <c r="K94" s="42">
        <v>0</v>
      </c>
      <c r="L94" s="42">
        <v>0</v>
      </c>
      <c r="M94" s="42">
        <v>0</v>
      </c>
      <c r="N94" s="37"/>
      <c r="O94" s="37"/>
      <c r="P94" s="37"/>
      <c r="Q94" s="37"/>
      <c r="R94" s="42">
        <f t="shared" si="32"/>
        <v>21.450000000000003</v>
      </c>
      <c r="S94" s="44">
        <f t="shared" si="76"/>
        <v>-11.549999999999997</v>
      </c>
      <c r="T94" s="33">
        <f>+(G94+H94)</f>
        <v>1</v>
      </c>
      <c r="U94" s="33">
        <f t="shared" si="89"/>
        <v>0.65</v>
      </c>
    </row>
    <row r="95" spans="1:21" s="3" customFormat="1" ht="31.5" x14ac:dyDescent="0.25">
      <c r="A95" s="22">
        <f t="shared" si="94"/>
        <v>11</v>
      </c>
      <c r="B95" s="23" t="s">
        <v>82</v>
      </c>
      <c r="C95" s="24">
        <f t="shared" si="91"/>
        <v>20</v>
      </c>
      <c r="D95" s="25">
        <f t="shared" si="92"/>
        <v>20</v>
      </c>
      <c r="E95" s="25">
        <f t="shared" si="93"/>
        <v>0</v>
      </c>
      <c r="F95" s="26">
        <v>20</v>
      </c>
      <c r="G95" s="26"/>
      <c r="H95" s="26"/>
      <c r="I95" s="26"/>
      <c r="J95" s="42">
        <v>0</v>
      </c>
      <c r="K95" s="42">
        <v>0</v>
      </c>
      <c r="L95" s="42">
        <v>0</v>
      </c>
      <c r="M95" s="42">
        <v>0</v>
      </c>
      <c r="N95" s="37"/>
      <c r="O95" s="37"/>
      <c r="P95" s="37"/>
      <c r="Q95" s="37"/>
      <c r="R95" s="42">
        <f t="shared" si="32"/>
        <v>13</v>
      </c>
      <c r="S95" s="44">
        <f t="shared" si="76"/>
        <v>-7</v>
      </c>
      <c r="T95" s="33">
        <f>+(G95+H95)</f>
        <v>0</v>
      </c>
      <c r="U95" s="33">
        <f t="shared" si="89"/>
        <v>0</v>
      </c>
    </row>
    <row r="96" spans="1:21" s="3" customFormat="1" ht="31.5" x14ac:dyDescent="0.25">
      <c r="A96" s="22">
        <f t="shared" si="94"/>
        <v>12</v>
      </c>
      <c r="B96" s="23" t="s">
        <v>83</v>
      </c>
      <c r="C96" s="24">
        <f t="shared" si="91"/>
        <v>63</v>
      </c>
      <c r="D96" s="25">
        <f t="shared" si="92"/>
        <v>63</v>
      </c>
      <c r="E96" s="25">
        <f t="shared" si="93"/>
        <v>0</v>
      </c>
      <c r="F96" s="26">
        <v>28</v>
      </c>
      <c r="G96" s="26"/>
      <c r="H96" s="26"/>
      <c r="I96" s="26"/>
      <c r="J96" s="42">
        <v>35</v>
      </c>
      <c r="K96" s="42">
        <v>0</v>
      </c>
      <c r="L96" s="42">
        <v>0</v>
      </c>
      <c r="M96" s="42">
        <v>0</v>
      </c>
      <c r="N96" s="37">
        <v>35</v>
      </c>
      <c r="O96" s="37"/>
      <c r="P96" s="37"/>
      <c r="Q96" s="37"/>
      <c r="R96" s="42">
        <f t="shared" si="32"/>
        <v>40.950000000000003</v>
      </c>
      <c r="S96" s="44">
        <f t="shared" si="76"/>
        <v>-22.049999999999997</v>
      </c>
      <c r="T96" s="33">
        <f>+(G96+H96)</f>
        <v>0</v>
      </c>
      <c r="U96" s="33">
        <f t="shared" si="89"/>
        <v>0</v>
      </c>
    </row>
    <row r="97" spans="1:21" s="3" customFormat="1" ht="20.25" customHeight="1" x14ac:dyDescent="0.25">
      <c r="A97" s="22">
        <f t="shared" si="94"/>
        <v>13</v>
      </c>
      <c r="B97" s="23" t="s">
        <v>116</v>
      </c>
      <c r="C97" s="24">
        <f t="shared" ref="C97:C98" si="102">SUM(D97:E97)</f>
        <v>523</v>
      </c>
      <c r="D97" s="25">
        <f t="shared" ref="D97:D98" si="103">SUM(F97,J97,L97)</f>
        <v>523</v>
      </c>
      <c r="E97" s="25">
        <f>SUM(I97,K97,M97)</f>
        <v>0</v>
      </c>
      <c r="F97" s="26">
        <v>85</v>
      </c>
      <c r="G97" s="26">
        <v>1</v>
      </c>
      <c r="H97" s="26">
        <v>2</v>
      </c>
      <c r="I97" s="26"/>
      <c r="J97" s="42">
        <v>438</v>
      </c>
      <c r="K97" s="42">
        <v>0</v>
      </c>
      <c r="L97" s="42">
        <v>0</v>
      </c>
      <c r="M97" s="42">
        <v>0</v>
      </c>
      <c r="N97" s="37"/>
      <c r="O97" s="37"/>
      <c r="P97" s="37"/>
      <c r="Q97" s="37"/>
      <c r="R97" s="42">
        <f t="shared" si="32"/>
        <v>339.95000000000005</v>
      </c>
      <c r="S97" s="44">
        <f t="shared" si="76"/>
        <v>-183.04999999999995</v>
      </c>
      <c r="T97" s="33">
        <f t="shared" ref="T97:T98" si="104">+(G97+H97)</f>
        <v>3</v>
      </c>
      <c r="U97" s="33">
        <f t="shared" ref="U97:U98" si="105">+T97-(T97*0.35)</f>
        <v>1.9500000000000002</v>
      </c>
    </row>
    <row r="98" spans="1:21" s="4" customFormat="1" ht="31.5" x14ac:dyDescent="0.25">
      <c r="A98" s="22">
        <f t="shared" si="94"/>
        <v>14</v>
      </c>
      <c r="B98" s="27" t="s">
        <v>87</v>
      </c>
      <c r="C98" s="28">
        <f t="shared" si="102"/>
        <v>0</v>
      </c>
      <c r="D98" s="29">
        <f t="shared" si="103"/>
        <v>0</v>
      </c>
      <c r="E98" s="29">
        <f>SUM(I98,K98,M98)</f>
        <v>0</v>
      </c>
      <c r="F98" s="30"/>
      <c r="G98" s="30"/>
      <c r="H98" s="30"/>
      <c r="I98" s="30"/>
      <c r="J98" s="43"/>
      <c r="K98" s="43"/>
      <c r="L98" s="43"/>
      <c r="M98" s="43"/>
      <c r="N98" s="39"/>
      <c r="O98" s="39"/>
      <c r="P98" s="39"/>
      <c r="Q98" s="39"/>
      <c r="R98" s="43"/>
      <c r="S98" s="49"/>
      <c r="T98" s="33">
        <f t="shared" si="104"/>
        <v>0</v>
      </c>
      <c r="U98" s="33">
        <f t="shared" si="105"/>
        <v>0</v>
      </c>
    </row>
    <row r="99" spans="1:21" s="3" customFormat="1" ht="31.5" x14ac:dyDescent="0.25">
      <c r="A99" s="22">
        <f t="shared" si="94"/>
        <v>15</v>
      </c>
      <c r="B99" s="23" t="s">
        <v>88</v>
      </c>
      <c r="C99" s="24">
        <f t="shared" ref="C99:C100" si="106">SUM(D99:E99)</f>
        <v>31</v>
      </c>
      <c r="D99" s="25">
        <f t="shared" ref="D99:D108" si="107">SUM(F99,J99,L99)</f>
        <v>31</v>
      </c>
      <c r="E99" s="25">
        <f t="shared" si="93"/>
        <v>0</v>
      </c>
      <c r="F99" s="26">
        <v>31</v>
      </c>
      <c r="G99" s="26">
        <v>1</v>
      </c>
      <c r="H99" s="26">
        <v>1</v>
      </c>
      <c r="I99" s="26"/>
      <c r="J99" s="42">
        <v>0</v>
      </c>
      <c r="K99" s="42">
        <v>0</v>
      </c>
      <c r="L99" s="42">
        <v>0</v>
      </c>
      <c r="M99" s="42">
        <v>0</v>
      </c>
      <c r="N99" s="37"/>
      <c r="O99" s="37"/>
      <c r="P99" s="37"/>
      <c r="Q99" s="37"/>
      <c r="R99" s="42">
        <v>0</v>
      </c>
      <c r="S99" s="44">
        <f t="shared" si="76"/>
        <v>-31</v>
      </c>
      <c r="T99" s="33">
        <f t="shared" ref="T99:T108" si="108">+(G99+H99)</f>
        <v>2</v>
      </c>
      <c r="U99" s="33">
        <f t="shared" ref="U99:U108" si="109">+T99-(T99*0.35)</f>
        <v>1.3</v>
      </c>
    </row>
    <row r="100" spans="1:21" s="3" customFormat="1" ht="17.25" x14ac:dyDescent="0.25">
      <c r="A100" s="22">
        <f t="shared" si="94"/>
        <v>16</v>
      </c>
      <c r="B100" s="23" t="s">
        <v>89</v>
      </c>
      <c r="C100" s="24">
        <f t="shared" si="106"/>
        <v>1784</v>
      </c>
      <c r="D100" s="25">
        <f t="shared" si="107"/>
        <v>46</v>
      </c>
      <c r="E100" s="25">
        <f t="shared" si="93"/>
        <v>1738</v>
      </c>
      <c r="F100" s="26">
        <v>18</v>
      </c>
      <c r="G100" s="26">
        <v>1</v>
      </c>
      <c r="H100" s="26">
        <v>2</v>
      </c>
      <c r="I100" s="26">
        <v>262</v>
      </c>
      <c r="J100" s="42">
        <v>28</v>
      </c>
      <c r="K100" s="42">
        <v>1476</v>
      </c>
      <c r="L100" s="42">
        <v>0</v>
      </c>
      <c r="M100" s="42">
        <v>0</v>
      </c>
      <c r="N100" s="37">
        <v>28</v>
      </c>
      <c r="O100" s="37">
        <v>1476</v>
      </c>
      <c r="P100" s="37"/>
      <c r="Q100" s="37"/>
      <c r="R100" s="42">
        <f t="shared" si="32"/>
        <v>1159.5999999999999</v>
      </c>
      <c r="S100" s="44">
        <f t="shared" si="76"/>
        <v>-624.40000000000009</v>
      </c>
      <c r="T100" s="33">
        <f t="shared" si="108"/>
        <v>3</v>
      </c>
      <c r="U100" s="33">
        <f t="shared" si="109"/>
        <v>1.9500000000000002</v>
      </c>
    </row>
    <row r="101" spans="1:21" s="3" customFormat="1" ht="17.25" x14ac:dyDescent="0.25">
      <c r="A101" s="22">
        <f t="shared" si="94"/>
        <v>17</v>
      </c>
      <c r="B101" s="23" t="s">
        <v>90</v>
      </c>
      <c r="C101" s="24">
        <f t="shared" ref="C101:C104" si="110">SUM(D101:E101)</f>
        <v>158</v>
      </c>
      <c r="D101" s="25">
        <f t="shared" si="107"/>
        <v>158</v>
      </c>
      <c r="E101" s="25">
        <f t="shared" si="93"/>
        <v>0</v>
      </c>
      <c r="F101" s="26">
        <v>107</v>
      </c>
      <c r="G101" s="26">
        <v>1</v>
      </c>
      <c r="H101" s="26">
        <v>1</v>
      </c>
      <c r="I101" s="26"/>
      <c r="J101" s="42">
        <v>51</v>
      </c>
      <c r="K101" s="42">
        <v>0</v>
      </c>
      <c r="L101" s="42">
        <v>0</v>
      </c>
      <c r="M101" s="42">
        <v>0</v>
      </c>
      <c r="N101" s="37">
        <v>51</v>
      </c>
      <c r="O101" s="37"/>
      <c r="P101" s="37"/>
      <c r="Q101" s="37"/>
      <c r="R101" s="42">
        <f t="shared" si="32"/>
        <v>102.7</v>
      </c>
      <c r="S101" s="44">
        <f t="shared" si="76"/>
        <v>-55.3</v>
      </c>
      <c r="T101" s="33">
        <f t="shared" si="108"/>
        <v>2</v>
      </c>
      <c r="U101" s="33">
        <f t="shared" si="109"/>
        <v>1.3</v>
      </c>
    </row>
    <row r="102" spans="1:21" s="3" customFormat="1" ht="20.25" customHeight="1" x14ac:dyDescent="0.25">
      <c r="A102" s="22">
        <f t="shared" si="94"/>
        <v>18</v>
      </c>
      <c r="B102" s="23" t="s">
        <v>91</v>
      </c>
      <c r="C102" s="24">
        <f t="shared" si="110"/>
        <v>55</v>
      </c>
      <c r="D102" s="25">
        <f t="shared" si="107"/>
        <v>38</v>
      </c>
      <c r="E102" s="25">
        <f t="shared" si="93"/>
        <v>17</v>
      </c>
      <c r="F102" s="26">
        <v>38</v>
      </c>
      <c r="G102" s="26">
        <v>1</v>
      </c>
      <c r="H102" s="26">
        <v>1</v>
      </c>
      <c r="I102" s="26">
        <v>17</v>
      </c>
      <c r="J102" s="42">
        <v>0</v>
      </c>
      <c r="K102" s="42">
        <v>0</v>
      </c>
      <c r="L102" s="42">
        <v>0</v>
      </c>
      <c r="M102" s="42">
        <v>0</v>
      </c>
      <c r="N102" s="37"/>
      <c r="O102" s="37"/>
      <c r="P102" s="37"/>
      <c r="Q102" s="37"/>
      <c r="R102" s="42">
        <f t="shared" si="32"/>
        <v>35.75</v>
      </c>
      <c r="S102" s="44">
        <f t="shared" si="76"/>
        <v>-19.25</v>
      </c>
      <c r="T102" s="33">
        <f t="shared" si="108"/>
        <v>2</v>
      </c>
      <c r="U102" s="33">
        <f t="shared" si="109"/>
        <v>1.3</v>
      </c>
    </row>
    <row r="103" spans="1:21" s="3" customFormat="1" ht="17.25" x14ac:dyDescent="0.25">
      <c r="A103" s="22">
        <f t="shared" si="94"/>
        <v>19</v>
      </c>
      <c r="B103" s="23" t="s">
        <v>94</v>
      </c>
      <c r="C103" s="24">
        <f t="shared" si="110"/>
        <v>16</v>
      </c>
      <c r="D103" s="25">
        <f t="shared" si="107"/>
        <v>7</v>
      </c>
      <c r="E103" s="25">
        <f t="shared" si="93"/>
        <v>9</v>
      </c>
      <c r="F103" s="26">
        <v>7</v>
      </c>
      <c r="G103" s="26"/>
      <c r="H103" s="26">
        <v>1</v>
      </c>
      <c r="I103" s="26">
        <v>9</v>
      </c>
      <c r="J103" s="42">
        <v>0</v>
      </c>
      <c r="K103" s="42">
        <v>0</v>
      </c>
      <c r="L103" s="42">
        <v>0</v>
      </c>
      <c r="M103" s="42">
        <v>0</v>
      </c>
      <c r="N103" s="37"/>
      <c r="O103" s="37"/>
      <c r="P103" s="37"/>
      <c r="Q103" s="37"/>
      <c r="R103" s="42">
        <v>0</v>
      </c>
      <c r="S103" s="44">
        <f t="shared" si="76"/>
        <v>-16</v>
      </c>
      <c r="T103" s="33">
        <f t="shared" si="108"/>
        <v>1</v>
      </c>
      <c r="U103" s="33">
        <f t="shared" si="109"/>
        <v>0.65</v>
      </c>
    </row>
    <row r="104" spans="1:21" s="3" customFormat="1" ht="31.5" x14ac:dyDescent="0.25">
      <c r="A104" s="22">
        <f t="shared" si="94"/>
        <v>20</v>
      </c>
      <c r="B104" s="23" t="s">
        <v>92</v>
      </c>
      <c r="C104" s="24">
        <f t="shared" si="110"/>
        <v>18</v>
      </c>
      <c r="D104" s="25">
        <f t="shared" si="107"/>
        <v>18</v>
      </c>
      <c r="E104" s="25">
        <f t="shared" si="93"/>
        <v>0</v>
      </c>
      <c r="F104" s="26">
        <v>18</v>
      </c>
      <c r="G104" s="26"/>
      <c r="H104" s="26"/>
      <c r="I104" s="26"/>
      <c r="J104" s="42">
        <v>0</v>
      </c>
      <c r="K104" s="42">
        <v>0</v>
      </c>
      <c r="L104" s="42">
        <v>0</v>
      </c>
      <c r="M104" s="42">
        <v>0</v>
      </c>
      <c r="N104" s="37"/>
      <c r="O104" s="37"/>
      <c r="P104" s="37"/>
      <c r="Q104" s="37"/>
      <c r="R104" s="42">
        <f t="shared" ref="R104:R108" si="111">+C104-(C104*0.35)</f>
        <v>11.7</v>
      </c>
      <c r="S104" s="44">
        <f t="shared" si="76"/>
        <v>-6.3000000000000007</v>
      </c>
      <c r="T104" s="33">
        <f t="shared" si="108"/>
        <v>0</v>
      </c>
      <c r="U104" s="33">
        <f t="shared" si="109"/>
        <v>0</v>
      </c>
    </row>
    <row r="105" spans="1:21" s="3" customFormat="1" ht="15.75" customHeight="1" x14ac:dyDescent="0.25">
      <c r="A105" s="22">
        <f t="shared" si="94"/>
        <v>21</v>
      </c>
      <c r="B105" s="31" t="s">
        <v>96</v>
      </c>
      <c r="C105" s="24">
        <f t="shared" ref="C105:C106" si="112">SUM(D105:E105)</f>
        <v>3198</v>
      </c>
      <c r="D105" s="25">
        <f t="shared" si="107"/>
        <v>1078</v>
      </c>
      <c r="E105" s="25">
        <f t="shared" si="93"/>
        <v>2120</v>
      </c>
      <c r="F105" s="26">
        <v>48</v>
      </c>
      <c r="G105" s="26">
        <v>1</v>
      </c>
      <c r="H105" s="26">
        <v>1</v>
      </c>
      <c r="I105" s="26">
        <v>6</v>
      </c>
      <c r="J105" s="42">
        <v>208</v>
      </c>
      <c r="K105" s="42">
        <v>87</v>
      </c>
      <c r="L105" s="42">
        <v>822</v>
      </c>
      <c r="M105" s="42">
        <v>2027</v>
      </c>
      <c r="N105" s="37">
        <v>208</v>
      </c>
      <c r="O105" s="37">
        <v>87</v>
      </c>
      <c r="P105" s="37">
        <v>822</v>
      </c>
      <c r="Q105" s="37">
        <v>2027</v>
      </c>
      <c r="R105" s="42">
        <f t="shared" si="111"/>
        <v>2078.6999999999998</v>
      </c>
      <c r="S105" s="44">
        <f t="shared" si="76"/>
        <v>-1119.3000000000002</v>
      </c>
      <c r="T105" s="33">
        <f t="shared" si="108"/>
        <v>2</v>
      </c>
      <c r="U105" s="33">
        <f t="shared" si="109"/>
        <v>1.3</v>
      </c>
    </row>
    <row r="106" spans="1:21" s="3" customFormat="1" ht="31.5" x14ac:dyDescent="0.25">
      <c r="A106" s="22">
        <f t="shared" si="94"/>
        <v>22</v>
      </c>
      <c r="B106" s="23" t="s">
        <v>97</v>
      </c>
      <c r="C106" s="24">
        <f t="shared" si="112"/>
        <v>110</v>
      </c>
      <c r="D106" s="25">
        <f t="shared" si="107"/>
        <v>62</v>
      </c>
      <c r="E106" s="25">
        <f t="shared" si="93"/>
        <v>48</v>
      </c>
      <c r="F106" s="26">
        <v>27</v>
      </c>
      <c r="G106" s="26"/>
      <c r="H106" s="26">
        <v>1</v>
      </c>
      <c r="I106" s="26">
        <v>20</v>
      </c>
      <c r="J106" s="42">
        <v>35</v>
      </c>
      <c r="K106" s="42">
        <v>28</v>
      </c>
      <c r="L106" s="42">
        <v>0</v>
      </c>
      <c r="M106" s="42">
        <v>0</v>
      </c>
      <c r="N106" s="37">
        <v>35</v>
      </c>
      <c r="O106" s="37">
        <v>28</v>
      </c>
      <c r="P106" s="37">
        <v>0</v>
      </c>
      <c r="Q106" s="37">
        <v>0</v>
      </c>
      <c r="R106" s="42">
        <v>0</v>
      </c>
      <c r="S106" s="44">
        <f t="shared" si="76"/>
        <v>-110</v>
      </c>
      <c r="T106" s="33">
        <f t="shared" si="108"/>
        <v>1</v>
      </c>
      <c r="U106" s="33">
        <f t="shared" si="109"/>
        <v>0.65</v>
      </c>
    </row>
    <row r="107" spans="1:21" s="3" customFormat="1" ht="31.5" x14ac:dyDescent="0.25">
      <c r="A107" s="22">
        <f t="shared" si="94"/>
        <v>23</v>
      </c>
      <c r="B107" s="31" t="s">
        <v>93</v>
      </c>
      <c r="C107" s="24">
        <f t="shared" ref="C107" si="113">SUM(D107:E107)</f>
        <v>114</v>
      </c>
      <c r="D107" s="25">
        <f t="shared" si="107"/>
        <v>114</v>
      </c>
      <c r="E107" s="25">
        <f t="shared" si="93"/>
        <v>0</v>
      </c>
      <c r="F107" s="26">
        <f>91+23</f>
        <v>114</v>
      </c>
      <c r="G107" s="26">
        <v>1</v>
      </c>
      <c r="H107" s="26">
        <v>2</v>
      </c>
      <c r="I107" s="32"/>
      <c r="J107" s="42">
        <v>0</v>
      </c>
      <c r="K107" s="42">
        <v>0</v>
      </c>
      <c r="L107" s="42">
        <v>0</v>
      </c>
      <c r="M107" s="42">
        <v>0</v>
      </c>
      <c r="N107" s="37"/>
      <c r="O107" s="37"/>
      <c r="P107" s="37"/>
      <c r="Q107" s="37"/>
      <c r="R107" s="42">
        <f t="shared" si="111"/>
        <v>74.099999999999994</v>
      </c>
      <c r="S107" s="44">
        <f t="shared" si="76"/>
        <v>-39.900000000000006</v>
      </c>
      <c r="T107" s="33">
        <f t="shared" si="108"/>
        <v>3</v>
      </c>
      <c r="U107" s="33">
        <f t="shared" si="109"/>
        <v>1.9500000000000002</v>
      </c>
    </row>
    <row r="108" spans="1:21" s="3" customFormat="1" ht="31.5" x14ac:dyDescent="0.25">
      <c r="A108" s="22">
        <f t="shared" si="94"/>
        <v>24</v>
      </c>
      <c r="B108" s="23" t="s">
        <v>95</v>
      </c>
      <c r="C108" s="24">
        <f t="shared" ref="C108" si="114">SUM(D108:E108)</f>
        <v>55</v>
      </c>
      <c r="D108" s="25">
        <f t="shared" si="107"/>
        <v>24</v>
      </c>
      <c r="E108" s="25">
        <f t="shared" si="93"/>
        <v>31</v>
      </c>
      <c r="F108" s="26">
        <v>24</v>
      </c>
      <c r="G108" s="26"/>
      <c r="H108" s="26">
        <v>1</v>
      </c>
      <c r="I108" s="26">
        <v>31</v>
      </c>
      <c r="J108" s="42">
        <v>0</v>
      </c>
      <c r="K108" s="42">
        <v>0</v>
      </c>
      <c r="L108" s="42">
        <v>0</v>
      </c>
      <c r="M108" s="42">
        <v>0</v>
      </c>
      <c r="N108" s="37"/>
      <c r="O108" s="37"/>
      <c r="P108" s="37"/>
      <c r="Q108" s="37"/>
      <c r="R108" s="42">
        <f t="shared" si="111"/>
        <v>35.75</v>
      </c>
      <c r="S108" s="44">
        <f t="shared" si="76"/>
        <v>-19.25</v>
      </c>
      <c r="T108" s="33">
        <f t="shared" si="108"/>
        <v>1</v>
      </c>
      <c r="U108" s="33">
        <f t="shared" si="109"/>
        <v>0.65</v>
      </c>
    </row>
  </sheetData>
  <mergeCells count="30">
    <mergeCell ref="G6:H6"/>
    <mergeCell ref="I6:I7"/>
    <mergeCell ref="J6:J7"/>
    <mergeCell ref="K6:K7"/>
    <mergeCell ref="A84:B84"/>
    <mergeCell ref="A9:B9"/>
    <mergeCell ref="A36:B36"/>
    <mergeCell ref="A47:B47"/>
    <mergeCell ref="A35:B35"/>
    <mergeCell ref="J4:M4"/>
    <mergeCell ref="F4:I5"/>
    <mergeCell ref="B3:D3"/>
    <mergeCell ref="A2:M2"/>
    <mergeCell ref="A54:B54"/>
    <mergeCell ref="J5:K5"/>
    <mergeCell ref="L5:M5"/>
    <mergeCell ref="A4:A7"/>
    <mergeCell ref="B4:B7"/>
    <mergeCell ref="C4:C7"/>
    <mergeCell ref="D4:E5"/>
    <mergeCell ref="D6:D7"/>
    <mergeCell ref="E6:E7"/>
    <mergeCell ref="L6:L7"/>
    <mergeCell ref="M6:M7"/>
    <mergeCell ref="F6:F7"/>
    <mergeCell ref="R4:R7"/>
    <mergeCell ref="S4:S7"/>
    <mergeCell ref="P5:Q5"/>
    <mergeCell ref="N5:O5"/>
    <mergeCell ref="N4:Q4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08"/>
  <sheetViews>
    <sheetView view="pageBreakPreview" topLeftCell="A94" zoomScale="115" zoomScaleNormal="100" zoomScaleSheetLayoutView="115" zoomScalePageLayoutView="85" workbookViewId="0">
      <selection activeCell="M68" sqref="M68"/>
    </sheetView>
  </sheetViews>
  <sheetFormatPr defaultRowHeight="16.5" x14ac:dyDescent="0.25"/>
  <cols>
    <col min="1" max="1" width="4.42578125" style="5" bestFit="1" customWidth="1"/>
    <col min="2" max="2" width="74.140625" style="5" customWidth="1"/>
    <col min="3" max="3" width="12.85546875" style="5" customWidth="1"/>
    <col min="4" max="4" width="11.7109375" style="5" customWidth="1"/>
    <col min="5" max="5" width="10.42578125" style="5" customWidth="1"/>
    <col min="6" max="6" width="11.85546875" style="5" customWidth="1"/>
    <col min="7" max="7" width="12.85546875" style="5" customWidth="1"/>
    <col min="8" max="8" width="12.28515625" style="5" customWidth="1"/>
    <col min="9" max="9" width="10.42578125" style="5" bestFit="1" customWidth="1"/>
    <col min="10" max="10" width="11.7109375" style="5" customWidth="1"/>
    <col min="11" max="11" width="9.5703125" style="5" customWidth="1"/>
    <col min="12" max="12" width="11.85546875" style="5" customWidth="1"/>
    <col min="13" max="13" width="10.42578125" style="5" bestFit="1" customWidth="1"/>
    <col min="14" max="14" width="14" style="5" hidden="1" customWidth="1"/>
    <col min="15" max="15" width="15.140625" style="5" hidden="1" customWidth="1"/>
    <col min="16" max="16" width="14" style="5" hidden="1" customWidth="1"/>
    <col min="17" max="17" width="15.140625" style="5" hidden="1" customWidth="1"/>
    <col min="18" max="18" width="13.140625" style="5" customWidth="1"/>
    <col min="19" max="19" width="9.5703125" style="5" customWidth="1"/>
    <col min="20" max="16384" width="9.140625" style="5"/>
  </cols>
  <sheetData>
    <row r="1" spans="1:94" ht="12.75" customHeight="1" x14ac:dyDescent="0.25"/>
    <row r="2" spans="1:94" ht="33" customHeight="1" x14ac:dyDescent="0.25">
      <c r="A2" s="155" t="s">
        <v>117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94" x14ac:dyDescent="0.25">
      <c r="B3" s="153" t="s">
        <v>108</v>
      </c>
      <c r="C3" s="154"/>
      <c r="D3" s="154"/>
    </row>
    <row r="4" spans="1:94" s="13" customFormat="1" ht="20.25" customHeight="1" x14ac:dyDescent="0.25">
      <c r="A4" s="152" t="s">
        <v>0</v>
      </c>
      <c r="B4" s="151" t="s">
        <v>1</v>
      </c>
      <c r="C4" s="151" t="s">
        <v>112</v>
      </c>
      <c r="D4" s="151" t="s">
        <v>5</v>
      </c>
      <c r="E4" s="151"/>
      <c r="F4" s="152" t="s">
        <v>2</v>
      </c>
      <c r="G4" s="152"/>
      <c r="H4" s="152"/>
      <c r="I4" s="152"/>
      <c r="J4" s="151" t="s">
        <v>111</v>
      </c>
      <c r="K4" s="151"/>
      <c r="L4" s="151"/>
      <c r="M4" s="151"/>
      <c r="N4" s="150" t="s">
        <v>14</v>
      </c>
      <c r="O4" s="150"/>
      <c r="P4" s="150"/>
      <c r="Q4" s="150"/>
      <c r="R4" s="149" t="s">
        <v>119</v>
      </c>
      <c r="S4" s="149" t="s">
        <v>120</v>
      </c>
    </row>
    <row r="5" spans="1:94" s="13" customFormat="1" ht="31.5" customHeight="1" x14ac:dyDescent="0.25">
      <c r="A5" s="152"/>
      <c r="B5" s="151"/>
      <c r="C5" s="151"/>
      <c r="D5" s="151"/>
      <c r="E5" s="151"/>
      <c r="F5" s="152"/>
      <c r="G5" s="152"/>
      <c r="H5" s="152"/>
      <c r="I5" s="152"/>
      <c r="J5" s="151" t="s">
        <v>121</v>
      </c>
      <c r="K5" s="151"/>
      <c r="L5" s="151" t="s">
        <v>3</v>
      </c>
      <c r="M5" s="151"/>
      <c r="N5" s="150" t="s">
        <v>107</v>
      </c>
      <c r="O5" s="150"/>
      <c r="P5" s="150" t="s">
        <v>3</v>
      </c>
      <c r="Q5" s="150"/>
      <c r="R5" s="149"/>
      <c r="S5" s="149"/>
    </row>
    <row r="6" spans="1:94" s="13" customFormat="1" ht="17.25" customHeight="1" x14ac:dyDescent="0.25">
      <c r="A6" s="152"/>
      <c r="B6" s="151"/>
      <c r="C6" s="151"/>
      <c r="D6" s="157" t="s">
        <v>109</v>
      </c>
      <c r="E6" s="157" t="s">
        <v>122</v>
      </c>
      <c r="F6" s="157" t="s">
        <v>109</v>
      </c>
      <c r="G6" s="158" t="s">
        <v>114</v>
      </c>
      <c r="H6" s="158"/>
      <c r="I6" s="157" t="s">
        <v>122</v>
      </c>
      <c r="J6" s="157" t="s">
        <v>109</v>
      </c>
      <c r="K6" s="157" t="s">
        <v>122</v>
      </c>
      <c r="L6" s="157" t="s">
        <v>109</v>
      </c>
      <c r="M6" s="157" t="s">
        <v>122</v>
      </c>
      <c r="N6" s="35"/>
      <c r="O6" s="35"/>
      <c r="P6" s="35"/>
      <c r="Q6" s="35"/>
      <c r="R6" s="149"/>
      <c r="S6" s="149"/>
    </row>
    <row r="7" spans="1:94" s="14" customFormat="1" ht="62.25" customHeight="1" x14ac:dyDescent="0.25">
      <c r="A7" s="152"/>
      <c r="B7" s="151"/>
      <c r="C7" s="151"/>
      <c r="D7" s="157"/>
      <c r="E7" s="157"/>
      <c r="F7" s="157"/>
      <c r="G7" s="34" t="s">
        <v>115</v>
      </c>
      <c r="H7" s="34" t="s">
        <v>113</v>
      </c>
      <c r="I7" s="157"/>
      <c r="J7" s="157"/>
      <c r="K7" s="157"/>
      <c r="L7" s="157"/>
      <c r="M7" s="157"/>
      <c r="N7" s="36" t="s">
        <v>109</v>
      </c>
      <c r="O7" s="36" t="s">
        <v>16</v>
      </c>
      <c r="P7" s="36" t="s">
        <v>109</v>
      </c>
      <c r="Q7" s="36" t="s">
        <v>17</v>
      </c>
      <c r="R7" s="149"/>
      <c r="S7" s="149"/>
    </row>
    <row r="8" spans="1:94" s="12" customFormat="1" ht="17.25" x14ac:dyDescent="0.25">
      <c r="A8" s="16"/>
      <c r="B8" s="17" t="s">
        <v>5</v>
      </c>
      <c r="C8" s="18">
        <f t="shared" ref="C8:S8" si="0">+C9+C35+C54+C84</f>
        <v>107189.75</v>
      </c>
      <c r="D8" s="18">
        <f t="shared" si="0"/>
        <v>83684.5</v>
      </c>
      <c r="E8" s="18">
        <f t="shared" si="0"/>
        <v>23505.25</v>
      </c>
      <c r="F8" s="18">
        <f t="shared" si="0"/>
        <v>8060</v>
      </c>
      <c r="G8" s="18">
        <f t="shared" si="0"/>
        <v>64</v>
      </c>
      <c r="H8" s="18">
        <f t="shared" si="0"/>
        <v>159</v>
      </c>
      <c r="I8" s="18">
        <f t="shared" si="0"/>
        <v>800</v>
      </c>
      <c r="J8" s="18">
        <f t="shared" si="0"/>
        <v>16094</v>
      </c>
      <c r="K8" s="18">
        <f t="shared" si="0"/>
        <v>4317</v>
      </c>
      <c r="L8" s="18">
        <f t="shared" si="0"/>
        <v>59530.5</v>
      </c>
      <c r="M8" s="18">
        <f t="shared" si="0"/>
        <v>18388.25</v>
      </c>
      <c r="N8" s="11">
        <f t="shared" si="0"/>
        <v>15519</v>
      </c>
      <c r="O8" s="11">
        <f t="shared" si="0"/>
        <v>4312</v>
      </c>
      <c r="P8" s="11">
        <f t="shared" si="0"/>
        <v>30969.5</v>
      </c>
      <c r="Q8" s="11">
        <f t="shared" si="0"/>
        <v>18388.25</v>
      </c>
      <c r="R8" s="18">
        <f t="shared" si="0"/>
        <v>96664.6875</v>
      </c>
      <c r="S8" s="45">
        <f t="shared" si="0"/>
        <v>-10525.0625</v>
      </c>
    </row>
    <row r="9" spans="1:94" s="2" customFormat="1" ht="17.25" x14ac:dyDescent="0.25">
      <c r="A9" s="156" t="s">
        <v>103</v>
      </c>
      <c r="B9" s="156"/>
      <c r="C9" s="19">
        <f t="shared" ref="C9:S9" si="1">SUM(C10:C34)</f>
        <v>42580.25</v>
      </c>
      <c r="D9" s="19">
        <f t="shared" si="1"/>
        <v>28488.5</v>
      </c>
      <c r="E9" s="19">
        <f t="shared" si="1"/>
        <v>14091.75</v>
      </c>
      <c r="F9" s="19">
        <f t="shared" si="1"/>
        <v>3728</v>
      </c>
      <c r="G9" s="19">
        <f t="shared" si="1"/>
        <v>22</v>
      </c>
      <c r="H9" s="19">
        <f t="shared" si="1"/>
        <v>70</v>
      </c>
      <c r="I9" s="19">
        <f t="shared" si="1"/>
        <v>108</v>
      </c>
      <c r="J9" s="19">
        <f t="shared" si="1"/>
        <v>7697</v>
      </c>
      <c r="K9" s="19">
        <f t="shared" si="1"/>
        <v>1893</v>
      </c>
      <c r="L9" s="19">
        <f t="shared" si="1"/>
        <v>17063.5</v>
      </c>
      <c r="M9" s="19">
        <f t="shared" si="1"/>
        <v>12090.75</v>
      </c>
      <c r="N9" s="9">
        <f t="shared" si="1"/>
        <v>7405</v>
      </c>
      <c r="O9" s="9">
        <f t="shared" si="1"/>
        <v>1893</v>
      </c>
      <c r="P9" s="9">
        <f t="shared" si="1"/>
        <v>16289.5</v>
      </c>
      <c r="Q9" s="9">
        <f t="shared" si="1"/>
        <v>12090.75</v>
      </c>
      <c r="R9" s="19">
        <f t="shared" si="1"/>
        <v>36787.012500000004</v>
      </c>
      <c r="S9" s="46">
        <f t="shared" si="1"/>
        <v>-5793.2375000000002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s="3" customFormat="1" ht="17.25" x14ac:dyDescent="0.25">
      <c r="A10" s="22">
        <v>1</v>
      </c>
      <c r="B10" s="23" t="s">
        <v>26</v>
      </c>
      <c r="C10" s="24">
        <f t="shared" ref="C10" si="2">SUM(D10:E10)</f>
        <v>1376</v>
      </c>
      <c r="D10" s="25">
        <f t="shared" ref="D10" si="3">SUM(F10,J10,L10)</f>
        <v>1376</v>
      </c>
      <c r="E10" s="25">
        <f t="shared" ref="E10" si="4">SUM(I10,K10,M10)</f>
        <v>0</v>
      </c>
      <c r="F10" s="26">
        <v>310</v>
      </c>
      <c r="G10" s="26">
        <v>2</v>
      </c>
      <c r="H10" s="26">
        <v>6</v>
      </c>
      <c r="I10" s="26"/>
      <c r="J10" s="42">
        <v>292</v>
      </c>
      <c r="K10" s="42">
        <v>0</v>
      </c>
      <c r="L10" s="42">
        <v>774</v>
      </c>
      <c r="M10" s="42">
        <v>0</v>
      </c>
      <c r="N10" s="37">
        <v>605</v>
      </c>
      <c r="O10" s="37"/>
      <c r="P10" s="37">
        <v>973</v>
      </c>
      <c r="Q10" s="37"/>
      <c r="R10" s="42">
        <f t="shared" ref="R10:R26" si="5">+C10-(C10*0.15)</f>
        <v>1169.5999999999999</v>
      </c>
      <c r="S10" s="44">
        <f>+R10-C10</f>
        <v>-206.40000000000009</v>
      </c>
      <c r="T10" s="33">
        <f>+(G10+H10)</f>
        <v>8</v>
      </c>
      <c r="U10" s="33">
        <f>+T10-(T10*0.35)</f>
        <v>5.2</v>
      </c>
    </row>
    <row r="11" spans="1:94" s="3" customFormat="1" ht="17.25" x14ac:dyDescent="0.25">
      <c r="A11" s="22">
        <f>+A10+1</f>
        <v>2</v>
      </c>
      <c r="B11" s="23" t="s">
        <v>18</v>
      </c>
      <c r="C11" s="24">
        <f t="shared" ref="C11:C34" si="6">SUM(D11:E11)</f>
        <v>1917</v>
      </c>
      <c r="D11" s="25">
        <f>SUM(F11,J11,L11)</f>
        <v>1917</v>
      </c>
      <c r="E11" s="25">
        <f>SUM(I11,K11,M11)</f>
        <v>0</v>
      </c>
      <c r="F11" s="26">
        <v>339</v>
      </c>
      <c r="G11" s="26">
        <v>2</v>
      </c>
      <c r="H11" s="26">
        <v>4</v>
      </c>
      <c r="I11" s="26"/>
      <c r="J11" s="42">
        <v>605</v>
      </c>
      <c r="K11" s="42">
        <v>0</v>
      </c>
      <c r="L11" s="42">
        <v>973</v>
      </c>
      <c r="M11" s="42">
        <v>0</v>
      </c>
      <c r="N11" s="37"/>
      <c r="O11" s="37"/>
      <c r="P11" s="37"/>
      <c r="Q11" s="37"/>
      <c r="R11" s="42">
        <f t="shared" si="5"/>
        <v>1629.45</v>
      </c>
      <c r="S11" s="44">
        <f t="shared" ref="S11:S74" si="7">+R11-C11</f>
        <v>-287.54999999999995</v>
      </c>
      <c r="T11" s="33">
        <f t="shared" ref="T11:T82" si="8">+(G11+H11)</f>
        <v>6</v>
      </c>
      <c r="U11" s="33">
        <f t="shared" ref="U11:U82" si="9">+T11-(T11*0.35)</f>
        <v>3.9000000000000004</v>
      </c>
    </row>
    <row r="12" spans="1:94" s="3" customFormat="1" ht="17.25" x14ac:dyDescent="0.25">
      <c r="A12" s="22">
        <f t="shared" ref="A12:A34" si="10">+A11+1</f>
        <v>3</v>
      </c>
      <c r="B12" s="23" t="s">
        <v>19</v>
      </c>
      <c r="C12" s="24">
        <f t="shared" si="6"/>
        <v>5480</v>
      </c>
      <c r="D12" s="25">
        <f t="shared" ref="D12:D34" si="11">SUM(F12,J12,L12)</f>
        <v>3609</v>
      </c>
      <c r="E12" s="25">
        <f t="shared" ref="E12:E32" si="12">SUM(I12,K12,M12)</f>
        <v>1871</v>
      </c>
      <c r="F12" s="26">
        <v>538</v>
      </c>
      <c r="G12" s="26">
        <v>1</v>
      </c>
      <c r="H12" s="26">
        <v>5</v>
      </c>
      <c r="I12" s="26">
        <v>96</v>
      </c>
      <c r="J12" s="42">
        <v>824</v>
      </c>
      <c r="K12" s="42">
        <v>247</v>
      </c>
      <c r="L12" s="42">
        <v>2247</v>
      </c>
      <c r="M12" s="42">
        <v>1528</v>
      </c>
      <c r="N12" s="37">
        <v>824</v>
      </c>
      <c r="O12" s="37">
        <v>247</v>
      </c>
      <c r="P12" s="37">
        <v>2247</v>
      </c>
      <c r="Q12" s="37">
        <v>1528</v>
      </c>
      <c r="R12" s="42">
        <f t="shared" si="5"/>
        <v>4658</v>
      </c>
      <c r="S12" s="44">
        <f t="shared" si="7"/>
        <v>-822</v>
      </c>
      <c r="T12" s="33">
        <f t="shared" si="8"/>
        <v>6</v>
      </c>
      <c r="U12" s="33">
        <f t="shared" si="9"/>
        <v>3.9000000000000004</v>
      </c>
    </row>
    <row r="13" spans="1:94" s="3" customFormat="1" ht="17.25" x14ac:dyDescent="0.25">
      <c r="A13" s="22">
        <f t="shared" si="10"/>
        <v>4</v>
      </c>
      <c r="B13" s="23" t="s">
        <v>25</v>
      </c>
      <c r="C13" s="24">
        <f t="shared" ref="C13:C24" si="13">SUM(D13:E13)</f>
        <v>819</v>
      </c>
      <c r="D13" s="25">
        <f t="shared" si="11"/>
        <v>480</v>
      </c>
      <c r="E13" s="25">
        <f t="shared" si="12"/>
        <v>339</v>
      </c>
      <c r="F13" s="26">
        <v>77</v>
      </c>
      <c r="G13" s="26">
        <v>1</v>
      </c>
      <c r="H13" s="26">
        <v>3</v>
      </c>
      <c r="I13" s="26"/>
      <c r="J13" s="42">
        <v>196</v>
      </c>
      <c r="K13" s="42">
        <v>0</v>
      </c>
      <c r="L13" s="42">
        <v>207</v>
      </c>
      <c r="M13" s="42">
        <v>339</v>
      </c>
      <c r="N13" s="38">
        <v>196</v>
      </c>
      <c r="O13" s="38"/>
      <c r="P13" s="38">
        <v>207</v>
      </c>
      <c r="Q13" s="38">
        <v>339</v>
      </c>
      <c r="R13" s="42">
        <f t="shared" si="5"/>
        <v>696.15</v>
      </c>
      <c r="S13" s="44">
        <f t="shared" si="7"/>
        <v>-122.85000000000002</v>
      </c>
      <c r="T13" s="33">
        <f t="shared" si="8"/>
        <v>4</v>
      </c>
      <c r="U13" s="33">
        <f t="shared" si="9"/>
        <v>2.6</v>
      </c>
    </row>
    <row r="14" spans="1:94" s="3" customFormat="1" ht="17.25" x14ac:dyDescent="0.25">
      <c r="A14" s="22">
        <f t="shared" si="10"/>
        <v>5</v>
      </c>
      <c r="B14" s="23" t="s">
        <v>32</v>
      </c>
      <c r="C14" s="24">
        <f t="shared" si="13"/>
        <v>918</v>
      </c>
      <c r="D14" s="25">
        <f t="shared" si="11"/>
        <v>918</v>
      </c>
      <c r="E14" s="25">
        <f t="shared" si="12"/>
        <v>0</v>
      </c>
      <c r="F14" s="26">
        <v>98</v>
      </c>
      <c r="G14" s="26">
        <v>1</v>
      </c>
      <c r="H14" s="26">
        <v>2</v>
      </c>
      <c r="I14" s="26"/>
      <c r="J14" s="42">
        <v>820</v>
      </c>
      <c r="K14" s="42">
        <v>0</v>
      </c>
      <c r="L14" s="42">
        <v>0</v>
      </c>
      <c r="M14" s="42">
        <v>0</v>
      </c>
      <c r="N14" s="37">
        <v>820</v>
      </c>
      <c r="O14" s="37"/>
      <c r="P14" s="37"/>
      <c r="Q14" s="37"/>
      <c r="R14" s="42">
        <f t="shared" si="5"/>
        <v>780.3</v>
      </c>
      <c r="S14" s="44">
        <f t="shared" si="7"/>
        <v>-137.70000000000005</v>
      </c>
      <c r="T14" s="33">
        <f t="shared" si="8"/>
        <v>3</v>
      </c>
      <c r="U14" s="33">
        <f t="shared" si="9"/>
        <v>1.9500000000000002</v>
      </c>
    </row>
    <row r="15" spans="1:94" s="3" customFormat="1" ht="17.25" x14ac:dyDescent="0.25">
      <c r="A15" s="22">
        <f t="shared" si="10"/>
        <v>6</v>
      </c>
      <c r="B15" s="23" t="s">
        <v>21</v>
      </c>
      <c r="C15" s="24">
        <f t="shared" si="13"/>
        <v>3042.25</v>
      </c>
      <c r="D15" s="25">
        <f t="shared" si="11"/>
        <v>1603</v>
      </c>
      <c r="E15" s="25">
        <f t="shared" si="12"/>
        <v>1439.25</v>
      </c>
      <c r="F15" s="26">
        <v>90</v>
      </c>
      <c r="G15" s="26">
        <v>1</v>
      </c>
      <c r="H15" s="26">
        <v>3</v>
      </c>
      <c r="I15" s="26">
        <v>12</v>
      </c>
      <c r="J15" s="42">
        <v>244</v>
      </c>
      <c r="K15" s="42">
        <v>86</v>
      </c>
      <c r="L15" s="42">
        <v>1269</v>
      </c>
      <c r="M15" s="42">
        <v>1341.25</v>
      </c>
      <c r="N15" s="38">
        <v>244</v>
      </c>
      <c r="O15" s="37">
        <v>86</v>
      </c>
      <c r="P15" s="37">
        <v>1269</v>
      </c>
      <c r="Q15" s="37">
        <v>1341.25</v>
      </c>
      <c r="R15" s="42">
        <f t="shared" si="5"/>
        <v>2585.9124999999999</v>
      </c>
      <c r="S15" s="44">
        <f t="shared" si="7"/>
        <v>-456.33750000000009</v>
      </c>
      <c r="T15" s="33">
        <f t="shared" si="8"/>
        <v>4</v>
      </c>
      <c r="U15" s="33">
        <f t="shared" si="9"/>
        <v>2.6</v>
      </c>
    </row>
    <row r="16" spans="1:94" s="3" customFormat="1" ht="17.25" x14ac:dyDescent="0.25">
      <c r="A16" s="22">
        <f t="shared" si="10"/>
        <v>7</v>
      </c>
      <c r="B16" s="23" t="s">
        <v>38</v>
      </c>
      <c r="C16" s="24">
        <f t="shared" si="13"/>
        <v>1257</v>
      </c>
      <c r="D16" s="25">
        <f t="shared" si="11"/>
        <v>1257</v>
      </c>
      <c r="E16" s="25">
        <f t="shared" si="12"/>
        <v>0</v>
      </c>
      <c r="F16" s="26">
        <v>54</v>
      </c>
      <c r="G16" s="26">
        <v>1</v>
      </c>
      <c r="H16" s="26">
        <v>2</v>
      </c>
      <c r="I16" s="26"/>
      <c r="J16" s="42">
        <v>168</v>
      </c>
      <c r="K16" s="42">
        <v>0</v>
      </c>
      <c r="L16" s="42">
        <v>1035</v>
      </c>
      <c r="M16" s="42">
        <v>0</v>
      </c>
      <c r="N16" s="37">
        <v>168</v>
      </c>
      <c r="O16" s="37">
        <v>0</v>
      </c>
      <c r="P16" s="37">
        <v>1035</v>
      </c>
      <c r="Q16" s="37">
        <v>0</v>
      </c>
      <c r="R16" s="42">
        <f t="shared" si="5"/>
        <v>1068.45</v>
      </c>
      <c r="S16" s="44">
        <f t="shared" si="7"/>
        <v>-188.54999999999995</v>
      </c>
      <c r="T16" s="33">
        <f t="shared" si="8"/>
        <v>3</v>
      </c>
      <c r="U16" s="33">
        <f t="shared" si="9"/>
        <v>1.9500000000000002</v>
      </c>
    </row>
    <row r="17" spans="1:21" s="3" customFormat="1" ht="17.25" x14ac:dyDescent="0.25">
      <c r="A17" s="22">
        <f t="shared" si="10"/>
        <v>8</v>
      </c>
      <c r="B17" s="23" t="s">
        <v>30</v>
      </c>
      <c r="C17" s="24">
        <f t="shared" si="13"/>
        <v>470</v>
      </c>
      <c r="D17" s="25">
        <f t="shared" si="11"/>
        <v>470</v>
      </c>
      <c r="E17" s="25">
        <f t="shared" si="12"/>
        <v>0</v>
      </c>
      <c r="F17" s="26">
        <v>84</v>
      </c>
      <c r="G17" s="26">
        <v>1</v>
      </c>
      <c r="H17" s="26">
        <v>2</v>
      </c>
      <c r="I17" s="26"/>
      <c r="J17" s="42">
        <v>386</v>
      </c>
      <c r="K17" s="42">
        <v>0</v>
      </c>
      <c r="L17" s="42">
        <v>0</v>
      </c>
      <c r="M17" s="42">
        <v>0</v>
      </c>
      <c r="N17" s="37">
        <v>386</v>
      </c>
      <c r="O17" s="37">
        <v>0</v>
      </c>
      <c r="P17" s="37">
        <v>0</v>
      </c>
      <c r="Q17" s="37">
        <v>0</v>
      </c>
      <c r="R17" s="42">
        <f t="shared" si="5"/>
        <v>399.5</v>
      </c>
      <c r="S17" s="44">
        <f t="shared" si="7"/>
        <v>-70.5</v>
      </c>
      <c r="T17" s="33">
        <f t="shared" si="8"/>
        <v>3</v>
      </c>
      <c r="U17" s="33">
        <f t="shared" si="9"/>
        <v>1.9500000000000002</v>
      </c>
    </row>
    <row r="18" spans="1:21" s="3" customFormat="1" ht="17.25" x14ac:dyDescent="0.25">
      <c r="A18" s="22">
        <f t="shared" si="10"/>
        <v>9</v>
      </c>
      <c r="B18" s="23" t="s">
        <v>29</v>
      </c>
      <c r="C18" s="24">
        <f t="shared" si="13"/>
        <v>894</v>
      </c>
      <c r="D18" s="25">
        <f t="shared" si="11"/>
        <v>894</v>
      </c>
      <c r="E18" s="25">
        <f t="shared" si="12"/>
        <v>0</v>
      </c>
      <c r="F18" s="26">
        <v>69</v>
      </c>
      <c r="G18" s="26">
        <v>1</v>
      </c>
      <c r="H18" s="26">
        <v>2</v>
      </c>
      <c r="I18" s="26"/>
      <c r="J18" s="42">
        <v>164</v>
      </c>
      <c r="K18" s="42">
        <v>0</v>
      </c>
      <c r="L18" s="42">
        <v>661</v>
      </c>
      <c r="M18" s="42">
        <v>0</v>
      </c>
      <c r="N18" s="37">
        <v>164</v>
      </c>
      <c r="O18" s="37"/>
      <c r="P18" s="37">
        <v>661</v>
      </c>
      <c r="Q18" s="37">
        <v>0</v>
      </c>
      <c r="R18" s="42">
        <f t="shared" si="5"/>
        <v>759.9</v>
      </c>
      <c r="S18" s="44">
        <f t="shared" si="7"/>
        <v>-134.10000000000002</v>
      </c>
      <c r="T18" s="33">
        <f t="shared" si="8"/>
        <v>3</v>
      </c>
      <c r="U18" s="33">
        <f t="shared" si="9"/>
        <v>1.9500000000000002</v>
      </c>
    </row>
    <row r="19" spans="1:21" s="3" customFormat="1" ht="17.25" x14ac:dyDescent="0.25">
      <c r="A19" s="22">
        <f t="shared" si="10"/>
        <v>10</v>
      </c>
      <c r="B19" s="23" t="s">
        <v>34</v>
      </c>
      <c r="C19" s="24">
        <f t="shared" si="13"/>
        <v>166</v>
      </c>
      <c r="D19" s="25">
        <f t="shared" si="11"/>
        <v>166</v>
      </c>
      <c r="E19" s="25">
        <f t="shared" si="12"/>
        <v>0</v>
      </c>
      <c r="F19" s="26">
        <v>114</v>
      </c>
      <c r="G19" s="26"/>
      <c r="H19" s="26">
        <v>1</v>
      </c>
      <c r="I19" s="26"/>
      <c r="J19" s="42">
        <v>52</v>
      </c>
      <c r="K19" s="42">
        <v>0</v>
      </c>
      <c r="L19" s="42">
        <v>0</v>
      </c>
      <c r="M19" s="42">
        <v>0</v>
      </c>
      <c r="N19" s="38">
        <v>52</v>
      </c>
      <c r="O19" s="37"/>
      <c r="P19" s="37"/>
      <c r="Q19" s="37"/>
      <c r="R19" s="42">
        <f t="shared" si="5"/>
        <v>141.1</v>
      </c>
      <c r="S19" s="44">
        <f t="shared" si="7"/>
        <v>-24.900000000000006</v>
      </c>
      <c r="T19" s="33">
        <f t="shared" si="8"/>
        <v>1</v>
      </c>
      <c r="U19" s="33">
        <f t="shared" si="9"/>
        <v>0.65</v>
      </c>
    </row>
    <row r="20" spans="1:21" s="3" customFormat="1" ht="17.25" x14ac:dyDescent="0.25">
      <c r="A20" s="22">
        <f t="shared" si="10"/>
        <v>11</v>
      </c>
      <c r="B20" s="23" t="s">
        <v>22</v>
      </c>
      <c r="C20" s="24">
        <f t="shared" si="13"/>
        <v>338</v>
      </c>
      <c r="D20" s="25">
        <f t="shared" si="11"/>
        <v>274</v>
      </c>
      <c r="E20" s="25">
        <f t="shared" si="12"/>
        <v>64</v>
      </c>
      <c r="F20" s="26">
        <v>134</v>
      </c>
      <c r="G20" s="26">
        <v>1</v>
      </c>
      <c r="H20" s="26">
        <v>4</v>
      </c>
      <c r="I20" s="26"/>
      <c r="J20" s="42">
        <v>140</v>
      </c>
      <c r="K20" s="42">
        <v>64</v>
      </c>
      <c r="L20" s="42">
        <v>0</v>
      </c>
      <c r="M20" s="42">
        <v>0</v>
      </c>
      <c r="N20" s="38">
        <v>140</v>
      </c>
      <c r="O20" s="37">
        <f>204-140</f>
        <v>64</v>
      </c>
      <c r="P20" s="37"/>
      <c r="Q20" s="37"/>
      <c r="R20" s="42">
        <f t="shared" si="5"/>
        <v>287.3</v>
      </c>
      <c r="S20" s="44">
        <f t="shared" si="7"/>
        <v>-50.699999999999989</v>
      </c>
      <c r="T20" s="33">
        <f t="shared" si="8"/>
        <v>5</v>
      </c>
      <c r="U20" s="33">
        <f t="shared" si="9"/>
        <v>3.25</v>
      </c>
    </row>
    <row r="21" spans="1:21" s="3" customFormat="1" ht="17.25" x14ac:dyDescent="0.25">
      <c r="A21" s="22">
        <f t="shared" si="10"/>
        <v>12</v>
      </c>
      <c r="B21" s="23" t="s">
        <v>23</v>
      </c>
      <c r="C21" s="24">
        <f t="shared" si="13"/>
        <v>4857.5</v>
      </c>
      <c r="D21" s="25">
        <f t="shared" si="11"/>
        <v>1764</v>
      </c>
      <c r="E21" s="25">
        <f t="shared" si="12"/>
        <v>3093.5</v>
      </c>
      <c r="F21" s="26">
        <v>200</v>
      </c>
      <c r="G21" s="26">
        <v>1</v>
      </c>
      <c r="H21" s="26">
        <v>4</v>
      </c>
      <c r="I21" s="26"/>
      <c r="J21" s="42">
        <v>614</v>
      </c>
      <c r="K21" s="42">
        <v>126</v>
      </c>
      <c r="L21" s="42">
        <v>950</v>
      </c>
      <c r="M21" s="42">
        <v>2967.5</v>
      </c>
      <c r="N21" s="37">
        <v>614</v>
      </c>
      <c r="O21" s="37">
        <v>126</v>
      </c>
      <c r="P21" s="37">
        <v>950</v>
      </c>
      <c r="Q21" s="37">
        <v>2967.5</v>
      </c>
      <c r="R21" s="42">
        <f t="shared" si="5"/>
        <v>4128.875</v>
      </c>
      <c r="S21" s="44">
        <f t="shared" si="7"/>
        <v>-728.625</v>
      </c>
      <c r="T21" s="33">
        <f t="shared" si="8"/>
        <v>5</v>
      </c>
      <c r="U21" s="33">
        <f t="shared" si="9"/>
        <v>3.25</v>
      </c>
    </row>
    <row r="22" spans="1:21" s="3" customFormat="1" ht="17.25" x14ac:dyDescent="0.25">
      <c r="A22" s="22">
        <f t="shared" si="10"/>
        <v>13</v>
      </c>
      <c r="B22" s="23" t="s">
        <v>33</v>
      </c>
      <c r="C22" s="24">
        <f t="shared" si="13"/>
        <v>2446.5</v>
      </c>
      <c r="D22" s="25">
        <f t="shared" si="11"/>
        <v>1975.5</v>
      </c>
      <c r="E22" s="25">
        <f t="shared" si="12"/>
        <v>471</v>
      </c>
      <c r="F22" s="26">
        <v>142</v>
      </c>
      <c r="G22" s="26">
        <v>1</v>
      </c>
      <c r="H22" s="26">
        <v>2</v>
      </c>
      <c r="I22" s="26"/>
      <c r="J22" s="42">
        <v>406</v>
      </c>
      <c r="K22" s="42">
        <v>58</v>
      </c>
      <c r="L22" s="42">
        <v>1427.5</v>
      </c>
      <c r="M22" s="42">
        <v>413</v>
      </c>
      <c r="N22" s="37">
        <v>406</v>
      </c>
      <c r="O22" s="37">
        <v>58</v>
      </c>
      <c r="P22" s="37">
        <v>1427.5</v>
      </c>
      <c r="Q22" s="37">
        <v>413</v>
      </c>
      <c r="R22" s="42">
        <f t="shared" si="5"/>
        <v>2079.5250000000001</v>
      </c>
      <c r="S22" s="44">
        <f t="shared" si="7"/>
        <v>-366.97499999999991</v>
      </c>
      <c r="T22" s="33">
        <f t="shared" si="8"/>
        <v>3</v>
      </c>
      <c r="U22" s="33">
        <f t="shared" si="9"/>
        <v>1.9500000000000002</v>
      </c>
    </row>
    <row r="23" spans="1:21" s="3" customFormat="1" ht="17.25" x14ac:dyDescent="0.25">
      <c r="A23" s="22">
        <f t="shared" si="10"/>
        <v>14</v>
      </c>
      <c r="B23" s="23" t="s">
        <v>28</v>
      </c>
      <c r="C23" s="24">
        <f t="shared" si="13"/>
        <v>4972</v>
      </c>
      <c r="D23" s="25">
        <f t="shared" si="11"/>
        <v>4972</v>
      </c>
      <c r="E23" s="25">
        <f t="shared" si="12"/>
        <v>0</v>
      </c>
      <c r="F23" s="26">
        <v>320</v>
      </c>
      <c r="G23" s="26">
        <v>1</v>
      </c>
      <c r="H23" s="26">
        <v>4</v>
      </c>
      <c r="I23" s="26"/>
      <c r="J23" s="42">
        <v>592</v>
      </c>
      <c r="K23" s="42">
        <v>0</v>
      </c>
      <c r="L23" s="42">
        <v>4060</v>
      </c>
      <c r="M23" s="42">
        <v>0</v>
      </c>
      <c r="N23" s="37">
        <v>592</v>
      </c>
      <c r="O23" s="37">
        <v>0</v>
      </c>
      <c r="P23" s="37">
        <v>4060</v>
      </c>
      <c r="Q23" s="37">
        <v>0</v>
      </c>
      <c r="R23" s="42">
        <f t="shared" si="5"/>
        <v>4226.2</v>
      </c>
      <c r="S23" s="44">
        <f t="shared" si="7"/>
        <v>-745.80000000000018</v>
      </c>
      <c r="T23" s="33">
        <f t="shared" si="8"/>
        <v>5</v>
      </c>
      <c r="U23" s="33">
        <f t="shared" si="9"/>
        <v>3.25</v>
      </c>
    </row>
    <row r="24" spans="1:21" s="3" customFormat="1" ht="30" customHeight="1" x14ac:dyDescent="0.25">
      <c r="A24" s="22">
        <f t="shared" si="10"/>
        <v>15</v>
      </c>
      <c r="B24" s="23" t="s">
        <v>27</v>
      </c>
      <c r="C24" s="24">
        <f t="shared" si="13"/>
        <v>234</v>
      </c>
      <c r="D24" s="25">
        <f t="shared" si="11"/>
        <v>234</v>
      </c>
      <c r="E24" s="25">
        <f t="shared" si="12"/>
        <v>0</v>
      </c>
      <c r="F24" s="26">
        <v>142</v>
      </c>
      <c r="G24" s="26">
        <v>1</v>
      </c>
      <c r="H24" s="26">
        <v>3</v>
      </c>
      <c r="I24" s="26"/>
      <c r="J24" s="42">
        <v>92</v>
      </c>
      <c r="K24" s="42">
        <v>0</v>
      </c>
      <c r="L24" s="42">
        <v>0</v>
      </c>
      <c r="M24" s="42">
        <v>0</v>
      </c>
      <c r="N24" s="37">
        <v>92</v>
      </c>
      <c r="O24" s="37"/>
      <c r="P24" s="37"/>
      <c r="Q24" s="37"/>
      <c r="R24" s="42">
        <f t="shared" si="5"/>
        <v>198.9</v>
      </c>
      <c r="S24" s="44">
        <f t="shared" si="7"/>
        <v>-35.099999999999994</v>
      </c>
      <c r="T24" s="33">
        <f t="shared" si="8"/>
        <v>4</v>
      </c>
      <c r="U24" s="33">
        <f t="shared" si="9"/>
        <v>2.6</v>
      </c>
    </row>
    <row r="25" spans="1:21" s="3" customFormat="1" ht="17.25" x14ac:dyDescent="0.25">
      <c r="A25" s="22">
        <f t="shared" si="10"/>
        <v>16</v>
      </c>
      <c r="B25" s="23" t="s">
        <v>20</v>
      </c>
      <c r="C25" s="24">
        <f t="shared" si="6"/>
        <v>911</v>
      </c>
      <c r="D25" s="25">
        <f t="shared" si="11"/>
        <v>445</v>
      </c>
      <c r="E25" s="25">
        <f t="shared" si="12"/>
        <v>466</v>
      </c>
      <c r="F25" s="26">
        <v>130</v>
      </c>
      <c r="G25" s="26">
        <v>0</v>
      </c>
      <c r="H25" s="26">
        <v>3</v>
      </c>
      <c r="I25" s="26"/>
      <c r="J25" s="42">
        <v>315</v>
      </c>
      <c r="K25" s="42">
        <v>466</v>
      </c>
      <c r="L25" s="42">
        <v>0</v>
      </c>
      <c r="M25" s="42">
        <v>0</v>
      </c>
      <c r="N25" s="37">
        <v>315</v>
      </c>
      <c r="O25" s="37">
        <v>466</v>
      </c>
      <c r="P25" s="37"/>
      <c r="Q25" s="37"/>
      <c r="R25" s="42">
        <f t="shared" si="5"/>
        <v>774.35</v>
      </c>
      <c r="S25" s="44">
        <f t="shared" si="7"/>
        <v>-136.64999999999998</v>
      </c>
      <c r="T25" s="33">
        <f t="shared" si="8"/>
        <v>3</v>
      </c>
      <c r="U25" s="33">
        <f t="shared" si="9"/>
        <v>1.9500000000000002</v>
      </c>
    </row>
    <row r="26" spans="1:21" s="3" customFormat="1" ht="17.25" x14ac:dyDescent="0.25">
      <c r="A26" s="22">
        <f t="shared" si="10"/>
        <v>17</v>
      </c>
      <c r="B26" s="23" t="s">
        <v>35</v>
      </c>
      <c r="C26" s="24">
        <f t="shared" ref="C26:C29" si="14">SUM(D26:E26)</f>
        <v>3070</v>
      </c>
      <c r="D26" s="25">
        <f t="shared" si="11"/>
        <v>3070</v>
      </c>
      <c r="E26" s="25">
        <f t="shared" si="12"/>
        <v>0</v>
      </c>
      <c r="F26" s="26">
        <v>191</v>
      </c>
      <c r="G26" s="26">
        <v>1</v>
      </c>
      <c r="H26" s="26">
        <v>5</v>
      </c>
      <c r="I26" s="26"/>
      <c r="J26" s="42">
        <v>920</v>
      </c>
      <c r="K26" s="42">
        <v>0</v>
      </c>
      <c r="L26" s="42">
        <v>1959</v>
      </c>
      <c r="M26" s="42">
        <v>0</v>
      </c>
      <c r="N26" s="37">
        <v>920</v>
      </c>
      <c r="O26" s="37"/>
      <c r="P26" s="37">
        <v>1959</v>
      </c>
      <c r="Q26" s="37"/>
      <c r="R26" s="42">
        <f t="shared" si="5"/>
        <v>2609.5</v>
      </c>
      <c r="S26" s="44">
        <f t="shared" si="7"/>
        <v>-460.5</v>
      </c>
      <c r="T26" s="33">
        <f t="shared" si="8"/>
        <v>6</v>
      </c>
      <c r="U26" s="33">
        <f t="shared" si="9"/>
        <v>3.9000000000000004</v>
      </c>
    </row>
    <row r="27" spans="1:21" s="3" customFormat="1" ht="17.25" x14ac:dyDescent="0.25">
      <c r="A27" s="22">
        <f t="shared" si="10"/>
        <v>18</v>
      </c>
      <c r="B27" s="23" t="s">
        <v>36</v>
      </c>
      <c r="C27" s="24">
        <f t="shared" si="14"/>
        <v>7788</v>
      </c>
      <c r="D27" s="25">
        <f t="shared" si="11"/>
        <v>1440</v>
      </c>
      <c r="E27" s="25">
        <f t="shared" si="12"/>
        <v>6348</v>
      </c>
      <c r="F27" s="26">
        <v>85</v>
      </c>
      <c r="G27" s="26">
        <v>1</v>
      </c>
      <c r="H27" s="26">
        <v>3</v>
      </c>
      <c r="I27" s="26"/>
      <c r="J27" s="42">
        <v>240</v>
      </c>
      <c r="K27" s="42">
        <v>846</v>
      </c>
      <c r="L27" s="42">
        <v>1115</v>
      </c>
      <c r="M27" s="42">
        <v>5502</v>
      </c>
      <c r="N27" s="37">
        <v>240</v>
      </c>
      <c r="O27" s="37">
        <v>846</v>
      </c>
      <c r="P27" s="37">
        <v>1115</v>
      </c>
      <c r="Q27" s="37">
        <v>5502</v>
      </c>
      <c r="R27" s="42">
        <f>+C27-(C27*0.1)</f>
        <v>7009.2</v>
      </c>
      <c r="S27" s="44">
        <f t="shared" si="7"/>
        <v>-778.80000000000018</v>
      </c>
      <c r="T27" s="33">
        <f t="shared" si="8"/>
        <v>4</v>
      </c>
      <c r="U27" s="33">
        <f t="shared" si="9"/>
        <v>2.6</v>
      </c>
    </row>
    <row r="28" spans="1:21" s="3" customFormat="1" ht="17.25" x14ac:dyDescent="0.25">
      <c r="A28" s="22">
        <f t="shared" si="10"/>
        <v>19</v>
      </c>
      <c r="B28" s="23" t="s">
        <v>37</v>
      </c>
      <c r="C28" s="24">
        <f t="shared" si="14"/>
        <v>115</v>
      </c>
      <c r="D28" s="25">
        <f t="shared" si="11"/>
        <v>115</v>
      </c>
      <c r="E28" s="25">
        <f t="shared" si="12"/>
        <v>0</v>
      </c>
      <c r="F28" s="26">
        <v>115</v>
      </c>
      <c r="G28" s="26">
        <v>1</v>
      </c>
      <c r="H28" s="26">
        <v>2</v>
      </c>
      <c r="I28" s="26"/>
      <c r="J28" s="42">
        <v>0</v>
      </c>
      <c r="K28" s="42">
        <v>0</v>
      </c>
      <c r="L28" s="42">
        <v>0</v>
      </c>
      <c r="M28" s="42">
        <v>0</v>
      </c>
      <c r="N28" s="37"/>
      <c r="O28" s="37"/>
      <c r="P28" s="37"/>
      <c r="Q28" s="37"/>
      <c r="R28" s="42">
        <f>+C28-(C28*0.1)</f>
        <v>103.5</v>
      </c>
      <c r="S28" s="44">
        <f t="shared" si="7"/>
        <v>-11.5</v>
      </c>
      <c r="T28" s="33">
        <f t="shared" si="8"/>
        <v>3</v>
      </c>
      <c r="U28" s="33">
        <f t="shared" si="9"/>
        <v>1.9500000000000002</v>
      </c>
    </row>
    <row r="29" spans="1:21" s="3" customFormat="1" ht="17.25" x14ac:dyDescent="0.25">
      <c r="A29" s="22">
        <f t="shared" si="10"/>
        <v>20</v>
      </c>
      <c r="B29" s="23" t="s">
        <v>31</v>
      </c>
      <c r="C29" s="24">
        <f t="shared" si="14"/>
        <v>670</v>
      </c>
      <c r="D29" s="25">
        <f t="shared" si="11"/>
        <v>670</v>
      </c>
      <c r="E29" s="25">
        <f t="shared" si="12"/>
        <v>0</v>
      </c>
      <c r="F29" s="26">
        <v>76</v>
      </c>
      <c r="G29" s="26">
        <v>1</v>
      </c>
      <c r="H29" s="26">
        <v>2</v>
      </c>
      <c r="I29" s="26"/>
      <c r="J29" s="42">
        <v>208</v>
      </c>
      <c r="K29" s="42">
        <v>0</v>
      </c>
      <c r="L29" s="42">
        <v>386</v>
      </c>
      <c r="M29" s="42">
        <v>0</v>
      </c>
      <c r="N29" s="37">
        <v>208</v>
      </c>
      <c r="O29" s="37">
        <v>0</v>
      </c>
      <c r="P29" s="37">
        <v>386</v>
      </c>
      <c r="Q29" s="37">
        <v>0</v>
      </c>
      <c r="R29" s="42">
        <v>670</v>
      </c>
      <c r="S29" s="44">
        <f t="shared" si="7"/>
        <v>0</v>
      </c>
      <c r="T29" s="33">
        <f t="shared" si="8"/>
        <v>3</v>
      </c>
      <c r="U29" s="33">
        <f t="shared" si="9"/>
        <v>1.9500000000000002</v>
      </c>
    </row>
    <row r="30" spans="1:21" s="3" customFormat="1" ht="17.25" x14ac:dyDescent="0.25">
      <c r="A30" s="22">
        <f t="shared" si="10"/>
        <v>21</v>
      </c>
      <c r="B30" s="23" t="s">
        <v>24</v>
      </c>
      <c r="C30" s="24">
        <f t="shared" si="6"/>
        <v>562</v>
      </c>
      <c r="D30" s="25">
        <f t="shared" si="11"/>
        <v>562</v>
      </c>
      <c r="E30" s="25">
        <f t="shared" si="12"/>
        <v>0</v>
      </c>
      <c r="F30" s="26">
        <v>143</v>
      </c>
      <c r="G30" s="26">
        <v>1</v>
      </c>
      <c r="H30" s="26">
        <v>4</v>
      </c>
      <c r="I30" s="26"/>
      <c r="J30" s="42">
        <v>419</v>
      </c>
      <c r="K30" s="42">
        <v>0</v>
      </c>
      <c r="L30" s="42">
        <v>0</v>
      </c>
      <c r="M30" s="42">
        <v>0</v>
      </c>
      <c r="N30" s="37">
        <v>419</v>
      </c>
      <c r="O30" s="37"/>
      <c r="P30" s="37"/>
      <c r="Q30" s="37"/>
      <c r="R30" s="42">
        <v>562</v>
      </c>
      <c r="S30" s="44">
        <f t="shared" si="7"/>
        <v>0</v>
      </c>
      <c r="T30" s="33">
        <f t="shared" si="8"/>
        <v>5</v>
      </c>
      <c r="U30" s="33">
        <f t="shared" si="9"/>
        <v>3.25</v>
      </c>
    </row>
    <row r="31" spans="1:21" s="3" customFormat="1" ht="17.25" x14ac:dyDescent="0.25">
      <c r="A31" s="22">
        <f t="shared" si="10"/>
        <v>22</v>
      </c>
      <c r="B31" s="23" t="s">
        <v>6</v>
      </c>
      <c r="C31" s="24">
        <f t="shared" ref="C31:C32" si="15">SUM(D31:E31)</f>
        <v>277</v>
      </c>
      <c r="D31" s="25">
        <f t="shared" si="11"/>
        <v>277</v>
      </c>
      <c r="E31" s="25">
        <f t="shared" si="12"/>
        <v>0</v>
      </c>
      <c r="F31" s="26">
        <f>11+266</f>
        <v>277</v>
      </c>
      <c r="G31" s="26">
        <v>1</v>
      </c>
      <c r="H31" s="26">
        <v>4</v>
      </c>
      <c r="I31" s="26"/>
      <c r="J31" s="42">
        <v>0</v>
      </c>
      <c r="K31" s="42"/>
      <c r="L31" s="42"/>
      <c r="M31" s="42"/>
      <c r="N31" s="37"/>
      <c r="O31" s="37"/>
      <c r="P31" s="37"/>
      <c r="Q31" s="37"/>
      <c r="R31" s="42">
        <f>+C31-(C31*0.1)</f>
        <v>249.3</v>
      </c>
      <c r="S31" s="44">
        <f t="shared" si="7"/>
        <v>-27.699999999999989</v>
      </c>
      <c r="T31" s="33">
        <f t="shared" si="8"/>
        <v>5</v>
      </c>
      <c r="U31" s="33">
        <f t="shared" si="9"/>
        <v>3.25</v>
      </c>
    </row>
    <row r="32" spans="1:21" s="4" customFormat="1" ht="17.25" x14ac:dyDescent="0.25">
      <c r="A32" s="22">
        <f t="shared" si="10"/>
        <v>23</v>
      </c>
      <c r="B32" s="27" t="s">
        <v>101</v>
      </c>
      <c r="C32" s="28">
        <f t="shared" si="15"/>
        <v>0</v>
      </c>
      <c r="D32" s="29">
        <f t="shared" si="11"/>
        <v>0</v>
      </c>
      <c r="E32" s="29">
        <f t="shared" si="12"/>
        <v>0</v>
      </c>
      <c r="F32" s="30"/>
      <c r="G32" s="30"/>
      <c r="H32" s="30"/>
      <c r="I32" s="30"/>
      <c r="J32" s="28"/>
      <c r="K32" s="28"/>
      <c r="L32" s="28"/>
      <c r="M32" s="28"/>
      <c r="N32" s="39"/>
      <c r="O32" s="39"/>
      <c r="P32" s="39"/>
      <c r="Q32" s="39"/>
      <c r="R32" s="28"/>
      <c r="S32" s="47"/>
      <c r="T32" s="33">
        <f t="shared" si="8"/>
        <v>0</v>
      </c>
      <c r="U32" s="33">
        <f t="shared" si="9"/>
        <v>0</v>
      </c>
    </row>
    <row r="33" spans="1:22" s="4" customFormat="1" ht="17.25" x14ac:dyDescent="0.25">
      <c r="A33" s="22">
        <f t="shared" si="10"/>
        <v>24</v>
      </c>
      <c r="B33" s="27" t="s">
        <v>100</v>
      </c>
      <c r="C33" s="28">
        <f t="shared" si="6"/>
        <v>0</v>
      </c>
      <c r="D33" s="29">
        <f t="shared" si="11"/>
        <v>0</v>
      </c>
      <c r="E33" s="29">
        <f>SUM(I33,K33,M33)</f>
        <v>0</v>
      </c>
      <c r="F33" s="30"/>
      <c r="G33" s="30"/>
      <c r="H33" s="30"/>
      <c r="I33" s="30"/>
      <c r="J33" s="28"/>
      <c r="K33" s="28"/>
      <c r="L33" s="28"/>
      <c r="M33" s="28"/>
      <c r="N33" s="39"/>
      <c r="O33" s="39"/>
      <c r="P33" s="39"/>
      <c r="Q33" s="39"/>
      <c r="R33" s="28"/>
      <c r="S33" s="47"/>
      <c r="T33" s="33">
        <f t="shared" si="8"/>
        <v>0</v>
      </c>
      <c r="U33" s="33">
        <f t="shared" si="9"/>
        <v>0</v>
      </c>
    </row>
    <row r="34" spans="1:22" s="4" customFormat="1" ht="17.25" x14ac:dyDescent="0.25">
      <c r="A34" s="22">
        <f t="shared" si="10"/>
        <v>25</v>
      </c>
      <c r="B34" s="27" t="s">
        <v>102</v>
      </c>
      <c r="C34" s="28">
        <f t="shared" si="6"/>
        <v>0</v>
      </c>
      <c r="D34" s="29">
        <f t="shared" si="11"/>
        <v>0</v>
      </c>
      <c r="E34" s="29">
        <f t="shared" ref="E34" si="16">SUM(I34,K34,M34)</f>
        <v>0</v>
      </c>
      <c r="F34" s="30"/>
      <c r="G34" s="30"/>
      <c r="H34" s="30"/>
      <c r="I34" s="30"/>
      <c r="J34" s="28"/>
      <c r="K34" s="28"/>
      <c r="L34" s="28"/>
      <c r="M34" s="28"/>
      <c r="N34" s="39"/>
      <c r="O34" s="39"/>
      <c r="P34" s="39"/>
      <c r="Q34" s="39"/>
      <c r="R34" s="28"/>
      <c r="S34" s="47"/>
      <c r="T34" s="33">
        <f t="shared" si="8"/>
        <v>0</v>
      </c>
      <c r="U34" s="33">
        <f t="shared" si="9"/>
        <v>0</v>
      </c>
    </row>
    <row r="35" spans="1:22" s="3" customFormat="1" ht="17.25" x14ac:dyDescent="0.25">
      <c r="A35" s="156" t="s">
        <v>104</v>
      </c>
      <c r="B35" s="156"/>
      <c r="C35" s="19">
        <f t="shared" ref="C35:S35" si="17">+C36+C47</f>
        <v>28204.5</v>
      </c>
      <c r="D35" s="19">
        <f t="shared" si="17"/>
        <v>26805</v>
      </c>
      <c r="E35" s="19">
        <f t="shared" si="17"/>
        <v>1399.5</v>
      </c>
      <c r="F35" s="19">
        <f t="shared" si="17"/>
        <v>1498</v>
      </c>
      <c r="G35" s="19">
        <f t="shared" si="17"/>
        <v>10</v>
      </c>
      <c r="H35" s="19">
        <f t="shared" si="17"/>
        <v>28</v>
      </c>
      <c r="I35" s="19">
        <f t="shared" si="17"/>
        <v>17</v>
      </c>
      <c r="J35" s="19">
        <f t="shared" si="17"/>
        <v>5161</v>
      </c>
      <c r="K35" s="19">
        <f t="shared" si="17"/>
        <v>75</v>
      </c>
      <c r="L35" s="19">
        <f t="shared" si="17"/>
        <v>20146</v>
      </c>
      <c r="M35" s="19">
        <f t="shared" si="17"/>
        <v>1307.5</v>
      </c>
      <c r="N35" s="9">
        <f t="shared" si="17"/>
        <v>5644</v>
      </c>
      <c r="O35" s="9">
        <f t="shared" si="17"/>
        <v>70</v>
      </c>
      <c r="P35" s="9">
        <f t="shared" si="17"/>
        <v>10977</v>
      </c>
      <c r="Q35" s="9">
        <f t="shared" si="17"/>
        <v>1307.5</v>
      </c>
      <c r="R35" s="19">
        <f t="shared" si="17"/>
        <v>25734.474999999999</v>
      </c>
      <c r="S35" s="46">
        <f t="shared" si="17"/>
        <v>-2470.0249999999996</v>
      </c>
      <c r="T35" s="33">
        <f t="shared" si="8"/>
        <v>38</v>
      </c>
      <c r="U35" s="33">
        <f t="shared" si="9"/>
        <v>24.700000000000003</v>
      </c>
    </row>
    <row r="36" spans="1:22" ht="17.25" x14ac:dyDescent="0.25">
      <c r="A36" s="159" t="s">
        <v>110</v>
      </c>
      <c r="B36" s="159"/>
      <c r="C36" s="20">
        <f t="shared" ref="C36:S36" si="18">SUM(C37:C46)</f>
        <v>26945.5</v>
      </c>
      <c r="D36" s="20">
        <f t="shared" si="18"/>
        <v>25551</v>
      </c>
      <c r="E36" s="20">
        <f t="shared" si="18"/>
        <v>1394.5</v>
      </c>
      <c r="F36" s="20">
        <f t="shared" si="18"/>
        <v>1203</v>
      </c>
      <c r="G36" s="20">
        <f t="shared" si="18"/>
        <v>6</v>
      </c>
      <c r="H36" s="20">
        <f t="shared" si="18"/>
        <v>18</v>
      </c>
      <c r="I36" s="20">
        <f t="shared" si="18"/>
        <v>17</v>
      </c>
      <c r="J36" s="20">
        <f t="shared" si="18"/>
        <v>4409</v>
      </c>
      <c r="K36" s="20">
        <f t="shared" si="18"/>
        <v>70</v>
      </c>
      <c r="L36" s="20">
        <f t="shared" si="18"/>
        <v>19939</v>
      </c>
      <c r="M36" s="20">
        <f t="shared" si="18"/>
        <v>1307.5</v>
      </c>
      <c r="N36" s="10">
        <f t="shared" si="18"/>
        <v>4903</v>
      </c>
      <c r="O36" s="10">
        <f t="shared" si="18"/>
        <v>70</v>
      </c>
      <c r="P36" s="10">
        <f t="shared" si="18"/>
        <v>10770</v>
      </c>
      <c r="Q36" s="10">
        <f t="shared" si="18"/>
        <v>1307.5</v>
      </c>
      <c r="R36" s="20">
        <f t="shared" si="18"/>
        <v>24595.974999999999</v>
      </c>
      <c r="S36" s="48">
        <f t="shared" si="18"/>
        <v>-2349.5249999999996</v>
      </c>
      <c r="T36" s="33">
        <f t="shared" si="8"/>
        <v>24</v>
      </c>
      <c r="U36" s="33">
        <f t="shared" si="9"/>
        <v>15.600000000000001</v>
      </c>
    </row>
    <row r="37" spans="1:22" s="3" customFormat="1" ht="17.25" x14ac:dyDescent="0.25">
      <c r="A37" s="22">
        <v>1</v>
      </c>
      <c r="B37" s="23" t="s">
        <v>41</v>
      </c>
      <c r="C37" s="24">
        <f t="shared" ref="C37:C39" si="19">SUM(D37:E37)</f>
        <v>1689</v>
      </c>
      <c r="D37" s="25">
        <f t="shared" ref="D37:D46" si="20">SUM(F37,J37,L37)</f>
        <v>1689</v>
      </c>
      <c r="E37" s="25">
        <f>SUM(I37,K37,M37)</f>
        <v>0</v>
      </c>
      <c r="F37" s="26">
        <v>83</v>
      </c>
      <c r="G37" s="26">
        <v>1</v>
      </c>
      <c r="H37" s="26">
        <v>2</v>
      </c>
      <c r="I37" s="26"/>
      <c r="J37" s="42">
        <v>365</v>
      </c>
      <c r="K37" s="42">
        <v>0</v>
      </c>
      <c r="L37" s="42">
        <v>1241</v>
      </c>
      <c r="M37" s="42">
        <v>0</v>
      </c>
      <c r="N37" s="37">
        <v>859</v>
      </c>
      <c r="O37" s="37"/>
      <c r="P37" s="37">
        <v>760</v>
      </c>
      <c r="Q37" s="37"/>
      <c r="R37" s="42">
        <f>+C37-(C37*0.15)</f>
        <v>1435.65</v>
      </c>
      <c r="S37" s="44">
        <f t="shared" si="7"/>
        <v>-253.34999999999991</v>
      </c>
      <c r="T37" s="33">
        <f t="shared" si="8"/>
        <v>3</v>
      </c>
      <c r="U37" s="33">
        <f t="shared" si="9"/>
        <v>1.9500000000000002</v>
      </c>
    </row>
    <row r="38" spans="1:22" s="3" customFormat="1" ht="17.25" x14ac:dyDescent="0.25">
      <c r="A38" s="22">
        <f t="shared" ref="A38:A46" si="21">+A37+1</f>
        <v>2</v>
      </c>
      <c r="B38" s="23" t="s">
        <v>44</v>
      </c>
      <c r="C38" s="24">
        <f t="shared" si="19"/>
        <v>154</v>
      </c>
      <c r="D38" s="25">
        <f t="shared" si="20"/>
        <v>154</v>
      </c>
      <c r="E38" s="25">
        <f t="shared" ref="E38:E46" si="22">SUM(I38,K38,M38)</f>
        <v>0</v>
      </c>
      <c r="F38" s="26">
        <v>74</v>
      </c>
      <c r="G38" s="26">
        <v>0</v>
      </c>
      <c r="H38" s="26">
        <v>3</v>
      </c>
      <c r="I38" s="26"/>
      <c r="J38" s="42">
        <v>80</v>
      </c>
      <c r="K38" s="42">
        <v>0</v>
      </c>
      <c r="L38" s="42">
        <v>0</v>
      </c>
      <c r="M38" s="42">
        <v>0</v>
      </c>
      <c r="N38" s="37">
        <v>80</v>
      </c>
      <c r="O38" s="37"/>
      <c r="P38" s="37"/>
      <c r="Q38" s="37"/>
      <c r="R38" s="42">
        <f>+C38-(C38*0.15)</f>
        <v>130.9</v>
      </c>
      <c r="S38" s="44">
        <f t="shared" si="7"/>
        <v>-23.099999999999994</v>
      </c>
      <c r="T38" s="33">
        <f t="shared" si="8"/>
        <v>3</v>
      </c>
      <c r="U38" s="33">
        <f t="shared" si="9"/>
        <v>1.9500000000000002</v>
      </c>
    </row>
    <row r="39" spans="1:22" s="3" customFormat="1" ht="17.25" x14ac:dyDescent="0.3">
      <c r="A39" s="22">
        <f t="shared" si="21"/>
        <v>3</v>
      </c>
      <c r="B39" s="23" t="s">
        <v>45</v>
      </c>
      <c r="C39" s="24">
        <f t="shared" si="19"/>
        <v>1626</v>
      </c>
      <c r="D39" s="25">
        <f t="shared" si="20"/>
        <v>1626</v>
      </c>
      <c r="E39" s="25">
        <f t="shared" si="22"/>
        <v>0</v>
      </c>
      <c r="F39" s="26">
        <v>69</v>
      </c>
      <c r="G39" s="26">
        <v>2</v>
      </c>
      <c r="H39" s="26">
        <v>2</v>
      </c>
      <c r="I39" s="26"/>
      <c r="J39" s="42">
        <v>220</v>
      </c>
      <c r="K39" s="42">
        <v>0</v>
      </c>
      <c r="L39" s="42">
        <v>1337</v>
      </c>
      <c r="M39" s="42">
        <v>0</v>
      </c>
      <c r="N39" s="37">
        <v>220</v>
      </c>
      <c r="O39" s="37">
        <v>0</v>
      </c>
      <c r="P39" s="37">
        <v>1337</v>
      </c>
      <c r="Q39" s="40"/>
      <c r="R39" s="42">
        <f>+C39-(C39*0.15)</f>
        <v>1382.1</v>
      </c>
      <c r="S39" s="44">
        <f t="shared" si="7"/>
        <v>-243.90000000000009</v>
      </c>
      <c r="T39" s="33">
        <f t="shared" si="8"/>
        <v>4</v>
      </c>
      <c r="U39" s="33">
        <f t="shared" si="9"/>
        <v>2.6</v>
      </c>
      <c r="V39" s="8" t="s">
        <v>7</v>
      </c>
    </row>
    <row r="40" spans="1:22" s="3" customFormat="1" ht="17.25" x14ac:dyDescent="0.25">
      <c r="A40" s="22">
        <f t="shared" si="21"/>
        <v>4</v>
      </c>
      <c r="B40" s="23" t="s">
        <v>39</v>
      </c>
      <c r="C40" s="24">
        <f t="shared" ref="C40:C41" si="23">SUM(D40:E40)</f>
        <v>11738.5</v>
      </c>
      <c r="D40" s="25">
        <f t="shared" si="20"/>
        <v>10344</v>
      </c>
      <c r="E40" s="25">
        <f t="shared" si="22"/>
        <v>1394.5</v>
      </c>
      <c r="F40" s="26">
        <v>498</v>
      </c>
      <c r="G40" s="26">
        <v>1</v>
      </c>
      <c r="H40" s="26">
        <v>4</v>
      </c>
      <c r="I40" s="26">
        <v>17</v>
      </c>
      <c r="J40" s="42">
        <v>2554</v>
      </c>
      <c r="K40" s="42">
        <v>70</v>
      </c>
      <c r="L40" s="42">
        <v>7292</v>
      </c>
      <c r="M40" s="42">
        <v>1307.5</v>
      </c>
      <c r="N40" s="37">
        <v>2554</v>
      </c>
      <c r="O40" s="37">
        <v>70</v>
      </c>
      <c r="P40" s="37">
        <v>7292</v>
      </c>
      <c r="Q40" s="37">
        <v>1307.5</v>
      </c>
      <c r="R40" s="42">
        <f>+C40-(C40*0.15)</f>
        <v>9977.7250000000004</v>
      </c>
      <c r="S40" s="44">
        <f t="shared" si="7"/>
        <v>-1760.7749999999996</v>
      </c>
      <c r="T40" s="33">
        <f t="shared" si="8"/>
        <v>5</v>
      </c>
      <c r="U40" s="33">
        <f t="shared" si="9"/>
        <v>3.25</v>
      </c>
    </row>
    <row r="41" spans="1:22" s="4" customFormat="1" ht="17.25" x14ac:dyDescent="0.25">
      <c r="A41" s="22">
        <f t="shared" si="21"/>
        <v>5</v>
      </c>
      <c r="B41" s="27" t="s">
        <v>98</v>
      </c>
      <c r="C41" s="28">
        <f t="shared" si="23"/>
        <v>0</v>
      </c>
      <c r="D41" s="29">
        <f t="shared" si="20"/>
        <v>0</v>
      </c>
      <c r="E41" s="29">
        <f t="shared" si="22"/>
        <v>0</v>
      </c>
      <c r="F41" s="30"/>
      <c r="G41" s="30"/>
      <c r="H41" s="30"/>
      <c r="I41" s="30"/>
      <c r="J41" s="43"/>
      <c r="K41" s="43"/>
      <c r="L41" s="43"/>
      <c r="M41" s="43"/>
      <c r="N41" s="39"/>
      <c r="O41" s="39"/>
      <c r="P41" s="39"/>
      <c r="Q41" s="39"/>
      <c r="R41" s="43"/>
      <c r="S41" s="49"/>
      <c r="T41" s="33">
        <f t="shared" si="8"/>
        <v>0</v>
      </c>
      <c r="U41" s="33">
        <f t="shared" si="9"/>
        <v>0</v>
      </c>
    </row>
    <row r="42" spans="1:22" s="3" customFormat="1" ht="17.25" x14ac:dyDescent="0.25">
      <c r="A42" s="22">
        <f t="shared" si="21"/>
        <v>6</v>
      </c>
      <c r="B42" s="23" t="s">
        <v>43</v>
      </c>
      <c r="C42" s="24">
        <f t="shared" ref="C42:C45" si="24">SUM(D42:E42)</f>
        <v>236</v>
      </c>
      <c r="D42" s="25">
        <f t="shared" si="20"/>
        <v>236</v>
      </c>
      <c r="E42" s="25">
        <f t="shared" si="22"/>
        <v>0</v>
      </c>
      <c r="F42" s="26">
        <v>73</v>
      </c>
      <c r="G42" s="26">
        <v>1</v>
      </c>
      <c r="H42" s="26">
        <v>1</v>
      </c>
      <c r="I42" s="26"/>
      <c r="J42" s="42">
        <v>163</v>
      </c>
      <c r="K42" s="42">
        <v>0</v>
      </c>
      <c r="L42" s="42">
        <v>0</v>
      </c>
      <c r="M42" s="42">
        <v>0</v>
      </c>
      <c r="N42" s="37">
        <v>163</v>
      </c>
      <c r="O42" s="37"/>
      <c r="P42" s="37"/>
      <c r="Q42" s="37"/>
      <c r="R42" s="42">
        <f>+C42-(C42*0.15)</f>
        <v>200.6</v>
      </c>
      <c r="S42" s="44">
        <f t="shared" si="7"/>
        <v>-35.400000000000006</v>
      </c>
      <c r="T42" s="33">
        <f t="shared" si="8"/>
        <v>2</v>
      </c>
      <c r="U42" s="33">
        <f t="shared" si="9"/>
        <v>1.3</v>
      </c>
    </row>
    <row r="43" spans="1:22" s="3" customFormat="1" ht="17.25" x14ac:dyDescent="0.25">
      <c r="A43" s="22">
        <f t="shared" si="21"/>
        <v>7</v>
      </c>
      <c r="B43" s="23" t="s">
        <v>46</v>
      </c>
      <c r="C43" s="24">
        <f t="shared" si="24"/>
        <v>9526</v>
      </c>
      <c r="D43" s="25">
        <f t="shared" si="20"/>
        <v>9526</v>
      </c>
      <c r="E43" s="25">
        <f t="shared" si="22"/>
        <v>0</v>
      </c>
      <c r="F43" s="26">
        <v>49</v>
      </c>
      <c r="G43" s="26">
        <v>1</v>
      </c>
      <c r="H43" s="26">
        <v>2</v>
      </c>
      <c r="I43" s="26"/>
      <c r="J43" s="42">
        <v>168</v>
      </c>
      <c r="K43" s="42">
        <v>0</v>
      </c>
      <c r="L43" s="42">
        <v>9309</v>
      </c>
      <c r="M43" s="42">
        <v>0</v>
      </c>
      <c r="N43" s="37">
        <v>168</v>
      </c>
      <c r="O43" s="37">
        <v>0</v>
      </c>
      <c r="P43" s="37">
        <v>621</v>
      </c>
      <c r="Q43" s="40"/>
      <c r="R43" s="42">
        <f>+C43-33</f>
        <v>9493</v>
      </c>
      <c r="S43" s="44">
        <f t="shared" si="7"/>
        <v>-33</v>
      </c>
      <c r="T43" s="33">
        <f t="shared" si="8"/>
        <v>3</v>
      </c>
      <c r="U43" s="33">
        <f t="shared" si="9"/>
        <v>1.9500000000000002</v>
      </c>
    </row>
    <row r="44" spans="1:22" s="4" customFormat="1" ht="17.25" x14ac:dyDescent="0.25">
      <c r="A44" s="22">
        <f t="shared" si="21"/>
        <v>8</v>
      </c>
      <c r="B44" s="27" t="s">
        <v>99</v>
      </c>
      <c r="C44" s="28">
        <f t="shared" si="24"/>
        <v>0</v>
      </c>
      <c r="D44" s="29">
        <f t="shared" si="20"/>
        <v>0</v>
      </c>
      <c r="E44" s="29">
        <f t="shared" si="22"/>
        <v>0</v>
      </c>
      <c r="F44" s="30"/>
      <c r="G44" s="30"/>
      <c r="H44" s="30"/>
      <c r="I44" s="30"/>
      <c r="J44" s="43"/>
      <c r="K44" s="43"/>
      <c r="L44" s="43"/>
      <c r="M44" s="43"/>
      <c r="N44" s="39"/>
      <c r="O44" s="39"/>
      <c r="P44" s="39"/>
      <c r="Q44" s="41"/>
      <c r="R44" s="43"/>
      <c r="S44" s="49"/>
      <c r="T44" s="33">
        <f t="shared" si="8"/>
        <v>0</v>
      </c>
      <c r="U44" s="33">
        <f t="shared" si="9"/>
        <v>0</v>
      </c>
    </row>
    <row r="45" spans="1:22" s="3" customFormat="1" ht="17.25" x14ac:dyDescent="0.25">
      <c r="A45" s="22">
        <f t="shared" si="21"/>
        <v>9</v>
      </c>
      <c r="B45" s="23" t="s">
        <v>42</v>
      </c>
      <c r="C45" s="24">
        <f t="shared" si="24"/>
        <v>91</v>
      </c>
      <c r="D45" s="25">
        <f t="shared" si="20"/>
        <v>91</v>
      </c>
      <c r="E45" s="25">
        <f t="shared" si="22"/>
        <v>0</v>
      </c>
      <c r="F45" s="26">
        <v>91</v>
      </c>
      <c r="G45" s="26">
        <v>0</v>
      </c>
      <c r="H45" s="26">
        <v>2</v>
      </c>
      <c r="I45" s="26"/>
      <c r="J45" s="42">
        <v>0</v>
      </c>
      <c r="K45" s="42">
        <v>0</v>
      </c>
      <c r="L45" s="42">
        <v>0</v>
      </c>
      <c r="M45" s="42">
        <v>0</v>
      </c>
      <c r="N45" s="37"/>
      <c r="O45" s="37"/>
      <c r="P45" s="37"/>
      <c r="Q45" s="37"/>
      <c r="R45" s="42">
        <v>91</v>
      </c>
      <c r="S45" s="44">
        <f t="shared" si="7"/>
        <v>0</v>
      </c>
      <c r="T45" s="33">
        <f t="shared" si="8"/>
        <v>2</v>
      </c>
      <c r="U45" s="33">
        <f t="shared" si="9"/>
        <v>1.3</v>
      </c>
    </row>
    <row r="46" spans="1:22" s="3" customFormat="1" ht="17.25" x14ac:dyDescent="0.25">
      <c r="A46" s="22">
        <f t="shared" si="21"/>
        <v>10</v>
      </c>
      <c r="B46" s="23" t="s">
        <v>40</v>
      </c>
      <c r="C46" s="24">
        <f t="shared" ref="C46" si="25">SUM(D46:E46)</f>
        <v>1885</v>
      </c>
      <c r="D46" s="25">
        <f t="shared" si="20"/>
        <v>1885</v>
      </c>
      <c r="E46" s="25">
        <f t="shared" si="22"/>
        <v>0</v>
      </c>
      <c r="F46" s="26">
        <v>266</v>
      </c>
      <c r="G46" s="26">
        <v>0</v>
      </c>
      <c r="H46" s="26">
        <v>2</v>
      </c>
      <c r="I46" s="26"/>
      <c r="J46" s="42">
        <v>859</v>
      </c>
      <c r="K46" s="42">
        <v>0</v>
      </c>
      <c r="L46" s="42">
        <v>760</v>
      </c>
      <c r="M46" s="42">
        <v>0</v>
      </c>
      <c r="N46" s="37">
        <v>859</v>
      </c>
      <c r="O46" s="37"/>
      <c r="P46" s="37">
        <v>760</v>
      </c>
      <c r="Q46" s="37"/>
      <c r="R46" s="42">
        <v>1885</v>
      </c>
      <c r="S46" s="44">
        <f t="shared" si="7"/>
        <v>0</v>
      </c>
      <c r="T46" s="33">
        <f t="shared" si="8"/>
        <v>2</v>
      </c>
      <c r="U46" s="33">
        <f t="shared" si="9"/>
        <v>1.3</v>
      </c>
    </row>
    <row r="47" spans="1:22" x14ac:dyDescent="0.25">
      <c r="A47" s="159" t="s">
        <v>8</v>
      </c>
      <c r="B47" s="159"/>
      <c r="C47" s="20">
        <f t="shared" ref="C47:M47" si="26">SUM(C48:C53)</f>
        <v>1259</v>
      </c>
      <c r="D47" s="20">
        <f t="shared" si="26"/>
        <v>1254</v>
      </c>
      <c r="E47" s="20">
        <f t="shared" si="26"/>
        <v>5</v>
      </c>
      <c r="F47" s="20">
        <f t="shared" si="26"/>
        <v>295</v>
      </c>
      <c r="G47" s="20">
        <f t="shared" si="26"/>
        <v>4</v>
      </c>
      <c r="H47" s="20">
        <f t="shared" si="26"/>
        <v>10</v>
      </c>
      <c r="I47" s="20">
        <f t="shared" si="26"/>
        <v>0</v>
      </c>
      <c r="J47" s="20">
        <f t="shared" si="26"/>
        <v>752</v>
      </c>
      <c r="K47" s="20">
        <f t="shared" si="26"/>
        <v>5</v>
      </c>
      <c r="L47" s="20">
        <f t="shared" si="26"/>
        <v>207</v>
      </c>
      <c r="M47" s="20">
        <f t="shared" si="26"/>
        <v>0</v>
      </c>
      <c r="N47" s="20">
        <f>SUM(N49:N53)</f>
        <v>741</v>
      </c>
      <c r="O47" s="20">
        <f>SUM(O49:O53)</f>
        <v>0</v>
      </c>
      <c r="P47" s="20">
        <f>SUM(P49:P53)</f>
        <v>207</v>
      </c>
      <c r="Q47" s="20">
        <f>SUM(Q49:Q53)</f>
        <v>0</v>
      </c>
      <c r="R47" s="20">
        <f t="shared" ref="R47:S47" si="27">SUM(R48:R53)</f>
        <v>1138.5</v>
      </c>
      <c r="S47" s="48">
        <f t="shared" si="27"/>
        <v>-120.5</v>
      </c>
      <c r="T47" s="33">
        <f t="shared" si="8"/>
        <v>14</v>
      </c>
      <c r="U47" s="33">
        <f t="shared" si="9"/>
        <v>9.1000000000000014</v>
      </c>
    </row>
    <row r="48" spans="1:22" s="3" customFormat="1" ht="17.25" x14ac:dyDescent="0.25">
      <c r="A48" s="22">
        <v>1</v>
      </c>
      <c r="B48" s="23" t="s">
        <v>51</v>
      </c>
      <c r="C48" s="24">
        <f t="shared" ref="C48:C53" si="28">SUM(D48:E48)</f>
        <v>31</v>
      </c>
      <c r="D48" s="25">
        <f t="shared" ref="D48:D53" si="29">SUM(F48,J48,L48)</f>
        <v>26</v>
      </c>
      <c r="E48" s="25">
        <f t="shared" ref="E48:E83" si="30">SUM(I48,K48,M48)</f>
        <v>5</v>
      </c>
      <c r="F48" s="26">
        <v>15</v>
      </c>
      <c r="G48" s="26">
        <v>1</v>
      </c>
      <c r="H48" s="26">
        <v>1</v>
      </c>
      <c r="I48" s="26"/>
      <c r="J48" s="42">
        <v>11</v>
      </c>
      <c r="K48" s="42">
        <v>5</v>
      </c>
      <c r="L48" s="42">
        <v>0</v>
      </c>
      <c r="M48" s="42">
        <v>0</v>
      </c>
      <c r="N48" s="37">
        <v>11</v>
      </c>
      <c r="O48" s="37">
        <v>5</v>
      </c>
      <c r="P48" s="37">
        <v>0</v>
      </c>
      <c r="Q48" s="37">
        <v>0</v>
      </c>
      <c r="R48" s="42">
        <v>31</v>
      </c>
      <c r="S48" s="44">
        <f t="shared" si="7"/>
        <v>0</v>
      </c>
      <c r="T48" s="33">
        <f t="shared" si="8"/>
        <v>2</v>
      </c>
      <c r="U48" s="33">
        <f t="shared" si="9"/>
        <v>1.3</v>
      </c>
    </row>
    <row r="49" spans="1:21" s="3" customFormat="1" ht="17.25" x14ac:dyDescent="0.25">
      <c r="A49" s="22">
        <f>+A48+1</f>
        <v>2</v>
      </c>
      <c r="B49" s="23" t="s">
        <v>47</v>
      </c>
      <c r="C49" s="24">
        <f t="shared" si="28"/>
        <v>413</v>
      </c>
      <c r="D49" s="25">
        <f t="shared" si="29"/>
        <v>413</v>
      </c>
      <c r="E49" s="25">
        <f t="shared" si="30"/>
        <v>0</v>
      </c>
      <c r="F49" s="26">
        <v>108</v>
      </c>
      <c r="G49" s="26">
        <v>1</v>
      </c>
      <c r="H49" s="26">
        <v>2</v>
      </c>
      <c r="I49" s="26"/>
      <c r="J49" s="42">
        <v>305</v>
      </c>
      <c r="K49" s="42">
        <v>0</v>
      </c>
      <c r="L49" s="42">
        <v>0</v>
      </c>
      <c r="M49" s="42">
        <v>0</v>
      </c>
      <c r="N49" s="37">
        <v>305</v>
      </c>
      <c r="O49" s="37">
        <v>0</v>
      </c>
      <c r="P49" s="37">
        <v>0</v>
      </c>
      <c r="Q49" s="37">
        <v>0</v>
      </c>
      <c r="R49" s="42">
        <f>+C49-(C49*0.1)</f>
        <v>371.7</v>
      </c>
      <c r="S49" s="44">
        <f t="shared" si="7"/>
        <v>-41.300000000000011</v>
      </c>
      <c r="T49" s="33">
        <f t="shared" si="8"/>
        <v>3</v>
      </c>
      <c r="U49" s="33">
        <f t="shared" si="9"/>
        <v>1.9500000000000002</v>
      </c>
    </row>
    <row r="50" spans="1:21" s="3" customFormat="1" ht="17.25" x14ac:dyDescent="0.25">
      <c r="A50" s="22">
        <f t="shared" ref="A50:A53" si="31">+A49+1</f>
        <v>3</v>
      </c>
      <c r="B50" s="23" t="s">
        <v>48</v>
      </c>
      <c r="C50" s="24">
        <f t="shared" si="28"/>
        <v>324</v>
      </c>
      <c r="D50" s="25">
        <f t="shared" si="29"/>
        <v>324</v>
      </c>
      <c r="E50" s="25">
        <f t="shared" si="30"/>
        <v>0</v>
      </c>
      <c r="F50" s="26">
        <v>68</v>
      </c>
      <c r="G50" s="26">
        <v>1</v>
      </c>
      <c r="H50" s="26">
        <v>2</v>
      </c>
      <c r="I50" s="26"/>
      <c r="J50" s="42">
        <v>49</v>
      </c>
      <c r="K50" s="42">
        <v>0</v>
      </c>
      <c r="L50" s="42">
        <v>207</v>
      </c>
      <c r="M50" s="42">
        <v>0</v>
      </c>
      <c r="N50" s="37">
        <v>49</v>
      </c>
      <c r="O50" s="37"/>
      <c r="P50" s="37">
        <v>207</v>
      </c>
      <c r="Q50" s="37"/>
      <c r="R50" s="42">
        <f>+C50-(C50*0.1)</f>
        <v>291.60000000000002</v>
      </c>
      <c r="S50" s="44">
        <f t="shared" si="7"/>
        <v>-32.399999999999977</v>
      </c>
      <c r="T50" s="33">
        <f t="shared" si="8"/>
        <v>3</v>
      </c>
      <c r="U50" s="33">
        <f t="shared" si="9"/>
        <v>1.9500000000000002</v>
      </c>
    </row>
    <row r="51" spans="1:21" s="3" customFormat="1" ht="31.5" x14ac:dyDescent="0.25">
      <c r="A51" s="22">
        <f t="shared" si="31"/>
        <v>4</v>
      </c>
      <c r="B51" s="23" t="s">
        <v>50</v>
      </c>
      <c r="C51" s="24">
        <f t="shared" si="28"/>
        <v>23</v>
      </c>
      <c r="D51" s="25">
        <f t="shared" si="29"/>
        <v>23</v>
      </c>
      <c r="E51" s="25">
        <f t="shared" si="30"/>
        <v>0</v>
      </c>
      <c r="F51" s="26">
        <v>23</v>
      </c>
      <c r="G51" s="26">
        <v>0</v>
      </c>
      <c r="H51" s="26">
        <v>2</v>
      </c>
      <c r="I51" s="26"/>
      <c r="J51" s="42">
        <v>0</v>
      </c>
      <c r="K51" s="42">
        <v>0</v>
      </c>
      <c r="L51" s="42">
        <v>0</v>
      </c>
      <c r="M51" s="42">
        <v>0</v>
      </c>
      <c r="N51" s="37"/>
      <c r="O51" s="37"/>
      <c r="P51" s="37"/>
      <c r="Q51" s="37"/>
      <c r="R51" s="42">
        <v>23</v>
      </c>
      <c r="S51" s="44">
        <f t="shared" si="7"/>
        <v>0</v>
      </c>
      <c r="T51" s="33">
        <f t="shared" si="8"/>
        <v>2</v>
      </c>
      <c r="U51" s="33">
        <f t="shared" si="9"/>
        <v>1.3</v>
      </c>
    </row>
    <row r="52" spans="1:21" s="6" customFormat="1" ht="31.5" x14ac:dyDescent="0.25">
      <c r="A52" s="22">
        <f t="shared" si="31"/>
        <v>5</v>
      </c>
      <c r="B52" s="27" t="s">
        <v>49</v>
      </c>
      <c r="C52" s="28"/>
      <c r="D52" s="29"/>
      <c r="E52" s="29"/>
      <c r="F52" s="30"/>
      <c r="G52" s="30"/>
      <c r="H52" s="30"/>
      <c r="I52" s="30"/>
      <c r="J52" s="43"/>
      <c r="K52" s="43"/>
      <c r="L52" s="43"/>
      <c r="M52" s="43"/>
      <c r="N52" s="39"/>
      <c r="O52" s="39"/>
      <c r="P52" s="39"/>
      <c r="Q52" s="39"/>
      <c r="R52" s="43"/>
      <c r="S52" s="49"/>
      <c r="T52" s="33">
        <f t="shared" si="8"/>
        <v>0</v>
      </c>
      <c r="U52" s="33">
        <f t="shared" si="9"/>
        <v>0</v>
      </c>
    </row>
    <row r="53" spans="1:21" s="3" customFormat="1" ht="17.25" x14ac:dyDescent="0.25">
      <c r="A53" s="22">
        <f t="shared" si="31"/>
        <v>6</v>
      </c>
      <c r="B53" s="23" t="s">
        <v>52</v>
      </c>
      <c r="C53" s="24">
        <f t="shared" si="28"/>
        <v>468</v>
      </c>
      <c r="D53" s="25">
        <f t="shared" si="29"/>
        <v>468</v>
      </c>
      <c r="E53" s="25">
        <f t="shared" si="30"/>
        <v>0</v>
      </c>
      <c r="F53" s="26">
        <v>81</v>
      </c>
      <c r="G53" s="26">
        <v>1</v>
      </c>
      <c r="H53" s="26">
        <v>3</v>
      </c>
      <c r="I53" s="26"/>
      <c r="J53" s="42">
        <v>387</v>
      </c>
      <c r="K53" s="42">
        <v>0</v>
      </c>
      <c r="L53" s="42">
        <v>0</v>
      </c>
      <c r="M53" s="42">
        <v>0</v>
      </c>
      <c r="N53" s="37">
        <v>387</v>
      </c>
      <c r="O53" s="37"/>
      <c r="P53" s="37"/>
      <c r="Q53" s="37"/>
      <c r="R53" s="42">
        <f>+C53-(C53*0.1)</f>
        <v>421.2</v>
      </c>
      <c r="S53" s="44">
        <f t="shared" si="7"/>
        <v>-46.800000000000011</v>
      </c>
      <c r="T53" s="33">
        <f t="shared" si="8"/>
        <v>4</v>
      </c>
      <c r="U53" s="33">
        <f t="shared" si="9"/>
        <v>2.6</v>
      </c>
    </row>
    <row r="54" spans="1:21" ht="17.25" x14ac:dyDescent="0.25">
      <c r="A54" s="156" t="s">
        <v>105</v>
      </c>
      <c r="B54" s="156"/>
      <c r="C54" s="19">
        <f t="shared" ref="C54:S54" si="32">SUM(C55:C83)</f>
        <v>27792</v>
      </c>
      <c r="D54" s="19">
        <f t="shared" si="32"/>
        <v>24807</v>
      </c>
      <c r="E54" s="19">
        <f t="shared" si="32"/>
        <v>2985</v>
      </c>
      <c r="F54" s="19">
        <f t="shared" si="32"/>
        <v>1571</v>
      </c>
      <c r="G54" s="19">
        <f t="shared" si="32"/>
        <v>23</v>
      </c>
      <c r="H54" s="19">
        <f t="shared" si="32"/>
        <v>39</v>
      </c>
      <c r="I54" s="19">
        <f t="shared" si="32"/>
        <v>191</v>
      </c>
      <c r="J54" s="19">
        <f t="shared" si="32"/>
        <v>2014</v>
      </c>
      <c r="K54" s="19">
        <f t="shared" si="32"/>
        <v>758</v>
      </c>
      <c r="L54" s="19">
        <f t="shared" si="32"/>
        <v>21222</v>
      </c>
      <c r="M54" s="19">
        <f t="shared" si="32"/>
        <v>2036</v>
      </c>
      <c r="N54" s="9">
        <f t="shared" si="32"/>
        <v>1686</v>
      </c>
      <c r="O54" s="9">
        <f t="shared" si="32"/>
        <v>758</v>
      </c>
      <c r="P54" s="9">
        <f t="shared" si="32"/>
        <v>2604</v>
      </c>
      <c r="Q54" s="9">
        <f t="shared" si="32"/>
        <v>2036</v>
      </c>
      <c r="R54" s="19">
        <f t="shared" si="32"/>
        <v>26636.95</v>
      </c>
      <c r="S54" s="46">
        <f t="shared" si="32"/>
        <v>-1155.0499999999997</v>
      </c>
      <c r="T54" s="33">
        <f t="shared" si="8"/>
        <v>62</v>
      </c>
      <c r="U54" s="33">
        <f t="shared" si="9"/>
        <v>40.299999999999997</v>
      </c>
    </row>
    <row r="55" spans="1:21" s="7" customFormat="1" ht="17.25" x14ac:dyDescent="0.25">
      <c r="A55" s="22">
        <v>1</v>
      </c>
      <c r="B55" s="23" t="s">
        <v>55</v>
      </c>
      <c r="C55" s="24">
        <f t="shared" ref="C55:C72" si="33">SUM(D55:E55)</f>
        <v>473</v>
      </c>
      <c r="D55" s="25">
        <f t="shared" ref="D55:D83" si="34">SUM(F55,J55,L55)</f>
        <v>473</v>
      </c>
      <c r="E55" s="25">
        <f t="shared" ref="E55:E72" si="35">SUM(I55,K55,M55)</f>
        <v>0</v>
      </c>
      <c r="F55" s="26">
        <v>145</v>
      </c>
      <c r="G55" s="26">
        <v>1</v>
      </c>
      <c r="H55" s="26">
        <v>3</v>
      </c>
      <c r="I55" s="26"/>
      <c r="J55" s="42">
        <v>328</v>
      </c>
      <c r="K55" s="42">
        <v>0</v>
      </c>
      <c r="L55" s="42">
        <v>0</v>
      </c>
      <c r="M55" s="42">
        <v>0</v>
      </c>
      <c r="N55" s="37"/>
      <c r="O55" s="37"/>
      <c r="P55" s="37"/>
      <c r="Q55" s="37"/>
      <c r="R55" s="42">
        <f>+C55-(C55*0.15)</f>
        <v>402.05</v>
      </c>
      <c r="S55" s="44">
        <f t="shared" si="7"/>
        <v>-70.949999999999989</v>
      </c>
      <c r="T55" s="33">
        <f t="shared" si="8"/>
        <v>4</v>
      </c>
      <c r="U55" s="33">
        <f t="shared" si="9"/>
        <v>2.6</v>
      </c>
    </row>
    <row r="56" spans="1:21" s="3" customFormat="1" ht="31.5" x14ac:dyDescent="0.25">
      <c r="A56" s="22">
        <f>+A55+1</f>
        <v>2</v>
      </c>
      <c r="B56" s="23" t="s">
        <v>56</v>
      </c>
      <c r="C56" s="24">
        <f t="shared" si="33"/>
        <v>57</v>
      </c>
      <c r="D56" s="25">
        <f t="shared" si="34"/>
        <v>57</v>
      </c>
      <c r="E56" s="25">
        <f t="shared" si="35"/>
        <v>0</v>
      </c>
      <c r="F56" s="26">
        <v>57</v>
      </c>
      <c r="G56" s="26">
        <v>1</v>
      </c>
      <c r="H56" s="26">
        <v>2</v>
      </c>
      <c r="I56" s="26"/>
      <c r="J56" s="42">
        <v>0</v>
      </c>
      <c r="K56" s="42">
        <v>0</v>
      </c>
      <c r="L56" s="42">
        <v>0</v>
      </c>
      <c r="M56" s="42">
        <v>0</v>
      </c>
      <c r="N56" s="37"/>
      <c r="O56" s="37"/>
      <c r="P56" s="37"/>
      <c r="Q56" s="37"/>
      <c r="R56" s="42">
        <v>57</v>
      </c>
      <c r="S56" s="44">
        <f t="shared" si="7"/>
        <v>0</v>
      </c>
      <c r="T56" s="33">
        <f t="shared" si="8"/>
        <v>3</v>
      </c>
      <c r="U56" s="33">
        <f t="shared" si="9"/>
        <v>1.9500000000000002</v>
      </c>
    </row>
    <row r="57" spans="1:21" s="3" customFormat="1" ht="17.25" x14ac:dyDescent="0.25">
      <c r="A57" s="22">
        <f t="shared" ref="A57:A83" si="36">+A56+1</f>
        <v>3</v>
      </c>
      <c r="B57" s="23" t="s">
        <v>64</v>
      </c>
      <c r="C57" s="24">
        <f t="shared" si="33"/>
        <v>2818</v>
      </c>
      <c r="D57" s="25">
        <f t="shared" si="34"/>
        <v>474</v>
      </c>
      <c r="E57" s="25">
        <f t="shared" si="35"/>
        <v>2344</v>
      </c>
      <c r="F57" s="26">
        <v>116</v>
      </c>
      <c r="G57" s="26">
        <v>1</v>
      </c>
      <c r="H57" s="26">
        <v>2</v>
      </c>
      <c r="I57" s="26"/>
      <c r="J57" s="42">
        <v>358</v>
      </c>
      <c r="K57" s="42">
        <v>744</v>
      </c>
      <c r="L57" s="42">
        <v>0</v>
      </c>
      <c r="M57" s="42">
        <v>1600</v>
      </c>
      <c r="N57" s="37">
        <v>358</v>
      </c>
      <c r="O57" s="37">
        <v>744</v>
      </c>
      <c r="P57" s="37">
        <v>0</v>
      </c>
      <c r="Q57" s="37">
        <v>1600</v>
      </c>
      <c r="R57" s="42">
        <f>+C57-(C57*0.15)</f>
        <v>2395.3000000000002</v>
      </c>
      <c r="S57" s="44">
        <f t="shared" si="7"/>
        <v>-422.69999999999982</v>
      </c>
      <c r="T57" s="33">
        <f t="shared" si="8"/>
        <v>3</v>
      </c>
      <c r="U57" s="33">
        <f t="shared" si="9"/>
        <v>1.9500000000000002</v>
      </c>
    </row>
    <row r="58" spans="1:21" s="3" customFormat="1" ht="17.25" x14ac:dyDescent="0.25">
      <c r="A58" s="22">
        <f t="shared" si="36"/>
        <v>4</v>
      </c>
      <c r="B58" s="23" t="s">
        <v>73</v>
      </c>
      <c r="C58" s="24">
        <f t="shared" si="33"/>
        <v>805</v>
      </c>
      <c r="D58" s="25">
        <f t="shared" si="34"/>
        <v>356</v>
      </c>
      <c r="E58" s="25">
        <f t="shared" si="35"/>
        <v>449</v>
      </c>
      <c r="F58" s="26">
        <v>38</v>
      </c>
      <c r="G58" s="26">
        <v>1</v>
      </c>
      <c r="H58" s="26">
        <v>1</v>
      </c>
      <c r="I58" s="26">
        <v>13</v>
      </c>
      <c r="J58" s="42">
        <v>112</v>
      </c>
      <c r="K58" s="42">
        <v>0</v>
      </c>
      <c r="L58" s="42">
        <v>206</v>
      </c>
      <c r="M58" s="42">
        <v>436</v>
      </c>
      <c r="N58" s="37">
        <v>112</v>
      </c>
      <c r="O58" s="37">
        <v>0</v>
      </c>
      <c r="P58" s="37">
        <v>206</v>
      </c>
      <c r="Q58" s="37">
        <v>436</v>
      </c>
      <c r="R58" s="42">
        <f>+C58-(C58*0.15)</f>
        <v>684.25</v>
      </c>
      <c r="S58" s="44">
        <f t="shared" si="7"/>
        <v>-120.75</v>
      </c>
      <c r="T58" s="33">
        <f t="shared" si="8"/>
        <v>2</v>
      </c>
      <c r="U58" s="33">
        <f t="shared" si="9"/>
        <v>1.3</v>
      </c>
    </row>
    <row r="59" spans="1:21" s="3" customFormat="1" ht="17.25" x14ac:dyDescent="0.25">
      <c r="A59" s="22">
        <f t="shared" si="36"/>
        <v>5</v>
      </c>
      <c r="B59" s="23" t="s">
        <v>71</v>
      </c>
      <c r="C59" s="24">
        <f t="shared" si="33"/>
        <v>10659</v>
      </c>
      <c r="D59" s="25">
        <f t="shared" si="34"/>
        <v>10659</v>
      </c>
      <c r="E59" s="25">
        <f t="shared" si="35"/>
        <v>0</v>
      </c>
      <c r="F59" s="26">
        <v>71</v>
      </c>
      <c r="G59" s="26">
        <v>1</v>
      </c>
      <c r="H59" s="26">
        <v>2</v>
      </c>
      <c r="I59" s="26"/>
      <c r="J59" s="42">
        <v>210</v>
      </c>
      <c r="K59" s="42">
        <v>0</v>
      </c>
      <c r="L59" s="42">
        <f>1069+9309</f>
        <v>10378</v>
      </c>
      <c r="M59" s="42">
        <v>0</v>
      </c>
      <c r="N59" s="37">
        <v>210</v>
      </c>
      <c r="O59" s="37">
        <v>0</v>
      </c>
      <c r="P59" s="37">
        <f>10442-9373</f>
        <v>1069</v>
      </c>
      <c r="Q59" s="37"/>
      <c r="R59" s="42">
        <f>+C59-203</f>
        <v>10456</v>
      </c>
      <c r="S59" s="44">
        <f t="shared" si="7"/>
        <v>-203</v>
      </c>
      <c r="T59" s="33">
        <f t="shared" si="8"/>
        <v>3</v>
      </c>
      <c r="U59" s="33">
        <f t="shared" si="9"/>
        <v>1.9500000000000002</v>
      </c>
    </row>
    <row r="60" spans="1:21" s="3" customFormat="1" ht="17.25" x14ac:dyDescent="0.25">
      <c r="A60" s="22">
        <f t="shared" si="36"/>
        <v>6</v>
      </c>
      <c r="B60" s="23" t="s">
        <v>74</v>
      </c>
      <c r="C60" s="24">
        <f t="shared" si="33"/>
        <v>90</v>
      </c>
      <c r="D60" s="25">
        <f t="shared" si="34"/>
        <v>73</v>
      </c>
      <c r="E60" s="25">
        <f t="shared" si="35"/>
        <v>17</v>
      </c>
      <c r="F60" s="26">
        <v>30</v>
      </c>
      <c r="G60" s="26">
        <v>1</v>
      </c>
      <c r="H60" s="26">
        <v>0</v>
      </c>
      <c r="I60" s="26">
        <v>3</v>
      </c>
      <c r="J60" s="42">
        <v>43</v>
      </c>
      <c r="K60" s="42">
        <v>14</v>
      </c>
      <c r="L60" s="42">
        <v>0</v>
      </c>
      <c r="M60" s="42">
        <v>0</v>
      </c>
      <c r="N60" s="37">
        <v>43</v>
      </c>
      <c r="O60" s="37">
        <v>14</v>
      </c>
      <c r="P60" s="37">
        <v>0</v>
      </c>
      <c r="Q60" s="37">
        <v>0</v>
      </c>
      <c r="R60" s="42">
        <v>90</v>
      </c>
      <c r="S60" s="44">
        <f t="shared" si="7"/>
        <v>0</v>
      </c>
      <c r="T60" s="33">
        <f t="shared" si="8"/>
        <v>1</v>
      </c>
      <c r="U60" s="33">
        <f t="shared" si="9"/>
        <v>0.65</v>
      </c>
    </row>
    <row r="61" spans="1:21" s="3" customFormat="1" ht="17.25" x14ac:dyDescent="0.25">
      <c r="A61" s="22">
        <f t="shared" si="36"/>
        <v>7</v>
      </c>
      <c r="B61" s="23" t="s">
        <v>69</v>
      </c>
      <c r="C61" s="24">
        <f t="shared" si="33"/>
        <v>70</v>
      </c>
      <c r="D61" s="25">
        <f t="shared" si="34"/>
        <v>70</v>
      </c>
      <c r="E61" s="25">
        <f t="shared" si="35"/>
        <v>0</v>
      </c>
      <c r="F61" s="26">
        <v>20</v>
      </c>
      <c r="G61" s="26">
        <v>0</v>
      </c>
      <c r="H61" s="26">
        <v>2</v>
      </c>
      <c r="I61" s="26"/>
      <c r="J61" s="42">
        <v>50</v>
      </c>
      <c r="K61" s="42">
        <v>0</v>
      </c>
      <c r="L61" s="42">
        <v>0</v>
      </c>
      <c r="M61" s="42">
        <v>0</v>
      </c>
      <c r="N61" s="37">
        <v>50</v>
      </c>
      <c r="O61" s="37"/>
      <c r="P61" s="37"/>
      <c r="Q61" s="37"/>
      <c r="R61" s="42">
        <v>70</v>
      </c>
      <c r="S61" s="44">
        <f t="shared" si="7"/>
        <v>0</v>
      </c>
      <c r="T61" s="33">
        <f t="shared" si="8"/>
        <v>2</v>
      </c>
      <c r="U61" s="33">
        <f t="shared" si="9"/>
        <v>1.3</v>
      </c>
    </row>
    <row r="62" spans="1:21" s="3" customFormat="1" ht="17.25" x14ac:dyDescent="0.25">
      <c r="A62" s="22">
        <f t="shared" si="36"/>
        <v>8</v>
      </c>
      <c r="B62" s="23" t="s">
        <v>9</v>
      </c>
      <c r="C62" s="24">
        <f t="shared" si="33"/>
        <v>132</v>
      </c>
      <c r="D62" s="25">
        <f t="shared" si="34"/>
        <v>132</v>
      </c>
      <c r="E62" s="25">
        <f t="shared" si="35"/>
        <v>0</v>
      </c>
      <c r="F62" s="26">
        <v>80</v>
      </c>
      <c r="G62" s="26">
        <v>1</v>
      </c>
      <c r="H62" s="26">
        <v>2</v>
      </c>
      <c r="I62" s="26"/>
      <c r="J62" s="42">
        <v>52</v>
      </c>
      <c r="K62" s="42">
        <v>0</v>
      </c>
      <c r="L62" s="42">
        <v>0</v>
      </c>
      <c r="M62" s="42">
        <v>0</v>
      </c>
      <c r="N62" s="37">
        <v>52</v>
      </c>
      <c r="O62" s="37">
        <v>0</v>
      </c>
      <c r="P62" s="37">
        <v>0</v>
      </c>
      <c r="Q62" s="37">
        <v>0</v>
      </c>
      <c r="R62" s="42">
        <f>+C62-(C62*0.1)</f>
        <v>118.8</v>
      </c>
      <c r="S62" s="44">
        <f t="shared" si="7"/>
        <v>-13.200000000000003</v>
      </c>
      <c r="T62" s="33">
        <f t="shared" si="8"/>
        <v>3</v>
      </c>
      <c r="U62" s="33">
        <f t="shared" si="9"/>
        <v>1.9500000000000002</v>
      </c>
    </row>
    <row r="63" spans="1:21" s="3" customFormat="1" ht="31.5" x14ac:dyDescent="0.25">
      <c r="A63" s="22">
        <f t="shared" si="36"/>
        <v>9</v>
      </c>
      <c r="B63" s="23" t="s">
        <v>70</v>
      </c>
      <c r="C63" s="24">
        <f t="shared" si="33"/>
        <v>73</v>
      </c>
      <c r="D63" s="25">
        <f t="shared" si="34"/>
        <v>73</v>
      </c>
      <c r="E63" s="25">
        <f t="shared" si="35"/>
        <v>0</v>
      </c>
      <c r="F63" s="26">
        <v>31</v>
      </c>
      <c r="G63" s="26">
        <v>0</v>
      </c>
      <c r="H63" s="26">
        <v>2</v>
      </c>
      <c r="I63" s="26"/>
      <c r="J63" s="42">
        <v>42</v>
      </c>
      <c r="K63" s="42">
        <v>0</v>
      </c>
      <c r="L63" s="42">
        <v>0</v>
      </c>
      <c r="M63" s="42">
        <v>0</v>
      </c>
      <c r="N63" s="37">
        <v>42</v>
      </c>
      <c r="O63" s="37"/>
      <c r="P63" s="37"/>
      <c r="Q63" s="37"/>
      <c r="R63" s="42">
        <v>73</v>
      </c>
      <c r="S63" s="44">
        <f t="shared" si="7"/>
        <v>0</v>
      </c>
      <c r="T63" s="33">
        <f t="shared" si="8"/>
        <v>2</v>
      </c>
      <c r="U63" s="33">
        <f t="shared" si="9"/>
        <v>1.3</v>
      </c>
    </row>
    <row r="64" spans="1:21" s="3" customFormat="1" ht="31.5" x14ac:dyDescent="0.25">
      <c r="A64" s="22">
        <f t="shared" si="36"/>
        <v>10</v>
      </c>
      <c r="B64" s="23" t="s">
        <v>53</v>
      </c>
      <c r="C64" s="24">
        <f t="shared" si="33"/>
        <v>31</v>
      </c>
      <c r="D64" s="25">
        <f t="shared" si="34"/>
        <v>31</v>
      </c>
      <c r="E64" s="25">
        <f t="shared" si="35"/>
        <v>0</v>
      </c>
      <c r="F64" s="26">
        <v>31</v>
      </c>
      <c r="G64" s="26">
        <v>1</v>
      </c>
      <c r="H64" s="26">
        <v>1</v>
      </c>
      <c r="I64" s="26"/>
      <c r="J64" s="42">
        <v>0</v>
      </c>
      <c r="K64" s="42">
        <v>0</v>
      </c>
      <c r="L64" s="42">
        <v>0</v>
      </c>
      <c r="M64" s="42">
        <v>0</v>
      </c>
      <c r="N64" s="37"/>
      <c r="O64" s="37"/>
      <c r="P64" s="37"/>
      <c r="Q64" s="37"/>
      <c r="R64" s="42">
        <v>31</v>
      </c>
      <c r="S64" s="44">
        <f t="shared" si="7"/>
        <v>0</v>
      </c>
      <c r="T64" s="33">
        <f t="shared" si="8"/>
        <v>2</v>
      </c>
      <c r="U64" s="33">
        <f t="shared" si="9"/>
        <v>1.3</v>
      </c>
    </row>
    <row r="65" spans="1:21" s="3" customFormat="1" ht="17.25" x14ac:dyDescent="0.25">
      <c r="A65" s="22">
        <f t="shared" si="36"/>
        <v>11</v>
      </c>
      <c r="B65" s="23" t="s">
        <v>72</v>
      </c>
      <c r="C65" s="24">
        <f t="shared" si="33"/>
        <v>25</v>
      </c>
      <c r="D65" s="25">
        <f t="shared" si="34"/>
        <v>25</v>
      </c>
      <c r="E65" s="25">
        <f t="shared" si="35"/>
        <v>0</v>
      </c>
      <c r="F65" s="26">
        <v>25</v>
      </c>
      <c r="G65" s="26">
        <v>0</v>
      </c>
      <c r="H65" s="26">
        <v>0</v>
      </c>
      <c r="I65" s="26"/>
      <c r="J65" s="42">
        <v>0</v>
      </c>
      <c r="K65" s="42">
        <v>0</v>
      </c>
      <c r="L65" s="42">
        <v>0</v>
      </c>
      <c r="M65" s="42">
        <v>0</v>
      </c>
      <c r="N65" s="37"/>
      <c r="O65" s="37"/>
      <c r="P65" s="37"/>
      <c r="Q65" s="37"/>
      <c r="R65" s="42">
        <v>25</v>
      </c>
      <c r="S65" s="44">
        <f t="shared" si="7"/>
        <v>0</v>
      </c>
      <c r="T65" s="33">
        <f t="shared" si="8"/>
        <v>0</v>
      </c>
      <c r="U65" s="33">
        <f t="shared" si="9"/>
        <v>0</v>
      </c>
    </row>
    <row r="66" spans="1:21" s="3" customFormat="1" ht="17.25" x14ac:dyDescent="0.25">
      <c r="A66" s="22">
        <f t="shared" si="36"/>
        <v>12</v>
      </c>
      <c r="B66" s="23" t="s">
        <v>10</v>
      </c>
      <c r="C66" s="24">
        <f t="shared" si="33"/>
        <v>155</v>
      </c>
      <c r="D66" s="25">
        <f t="shared" si="34"/>
        <v>13</v>
      </c>
      <c r="E66" s="25">
        <f t="shared" si="35"/>
        <v>142</v>
      </c>
      <c r="F66" s="26">
        <v>13</v>
      </c>
      <c r="G66" s="26">
        <v>1</v>
      </c>
      <c r="H66" s="26">
        <v>1</v>
      </c>
      <c r="I66" s="26">
        <v>142</v>
      </c>
      <c r="J66" s="42">
        <v>0</v>
      </c>
      <c r="K66" s="42">
        <v>0</v>
      </c>
      <c r="L66" s="42">
        <v>0</v>
      </c>
      <c r="M66" s="42">
        <v>0</v>
      </c>
      <c r="N66" s="37"/>
      <c r="O66" s="37"/>
      <c r="P66" s="37"/>
      <c r="Q66" s="37"/>
      <c r="R66" s="42">
        <f>+C66-(C66*0.1)</f>
        <v>139.5</v>
      </c>
      <c r="S66" s="44">
        <f t="shared" si="7"/>
        <v>-15.5</v>
      </c>
      <c r="T66" s="33">
        <f t="shared" si="8"/>
        <v>2</v>
      </c>
      <c r="U66" s="33">
        <f t="shared" si="9"/>
        <v>1.3</v>
      </c>
    </row>
    <row r="67" spans="1:21" s="3" customFormat="1" ht="31.5" x14ac:dyDescent="0.25">
      <c r="A67" s="22">
        <f t="shared" si="36"/>
        <v>13</v>
      </c>
      <c r="B67" s="23" t="s">
        <v>59</v>
      </c>
      <c r="C67" s="24">
        <f t="shared" si="33"/>
        <v>55</v>
      </c>
      <c r="D67" s="25">
        <f t="shared" si="34"/>
        <v>55</v>
      </c>
      <c r="E67" s="25">
        <f t="shared" si="35"/>
        <v>0</v>
      </c>
      <c r="F67" s="26">
        <v>55</v>
      </c>
      <c r="G67" s="26">
        <v>1</v>
      </c>
      <c r="H67" s="26">
        <v>2</v>
      </c>
      <c r="I67" s="26"/>
      <c r="J67" s="42">
        <v>0</v>
      </c>
      <c r="K67" s="42">
        <v>0</v>
      </c>
      <c r="L67" s="42">
        <v>0</v>
      </c>
      <c r="M67" s="42">
        <v>0</v>
      </c>
      <c r="N67" s="37"/>
      <c r="O67" s="37"/>
      <c r="P67" s="37"/>
      <c r="Q67" s="37"/>
      <c r="R67" s="42">
        <v>55</v>
      </c>
      <c r="S67" s="44">
        <f t="shared" si="7"/>
        <v>0</v>
      </c>
      <c r="T67" s="33">
        <f t="shared" si="8"/>
        <v>3</v>
      </c>
      <c r="U67" s="33">
        <f t="shared" si="9"/>
        <v>1.9500000000000002</v>
      </c>
    </row>
    <row r="68" spans="1:21" s="3" customFormat="1" ht="31.5" x14ac:dyDescent="0.25">
      <c r="A68" s="22">
        <f t="shared" si="36"/>
        <v>14</v>
      </c>
      <c r="B68" s="23" t="s">
        <v>60</v>
      </c>
      <c r="C68" s="24">
        <f t="shared" si="33"/>
        <v>29</v>
      </c>
      <c r="D68" s="25">
        <f t="shared" si="34"/>
        <v>29</v>
      </c>
      <c r="E68" s="25">
        <f t="shared" si="35"/>
        <v>0</v>
      </c>
      <c r="F68" s="26">
        <v>29</v>
      </c>
      <c r="G68" s="26">
        <v>1</v>
      </c>
      <c r="H68" s="26">
        <v>2</v>
      </c>
      <c r="I68" s="26"/>
      <c r="J68" s="42">
        <v>0</v>
      </c>
      <c r="K68" s="42">
        <v>0</v>
      </c>
      <c r="L68" s="42">
        <v>0</v>
      </c>
      <c r="M68" s="42">
        <v>0</v>
      </c>
      <c r="N68" s="37"/>
      <c r="O68" s="37"/>
      <c r="P68" s="37"/>
      <c r="Q68" s="37"/>
      <c r="R68" s="42">
        <v>29</v>
      </c>
      <c r="S68" s="44">
        <f t="shared" si="7"/>
        <v>0</v>
      </c>
      <c r="T68" s="33">
        <f t="shared" si="8"/>
        <v>3</v>
      </c>
      <c r="U68" s="33">
        <f t="shared" si="9"/>
        <v>1.9500000000000002</v>
      </c>
    </row>
    <row r="69" spans="1:21" s="3" customFormat="1" ht="31.5" x14ac:dyDescent="0.25">
      <c r="A69" s="22">
        <f t="shared" si="36"/>
        <v>15</v>
      </c>
      <c r="B69" s="23" t="s">
        <v>61</v>
      </c>
      <c r="C69" s="24">
        <f t="shared" si="33"/>
        <v>28</v>
      </c>
      <c r="D69" s="25">
        <f t="shared" si="34"/>
        <v>28</v>
      </c>
      <c r="E69" s="25">
        <f t="shared" si="35"/>
        <v>0</v>
      </c>
      <c r="F69" s="26">
        <v>28</v>
      </c>
      <c r="G69" s="26">
        <v>0</v>
      </c>
      <c r="H69" s="26">
        <v>2</v>
      </c>
      <c r="I69" s="26"/>
      <c r="J69" s="42">
        <v>0</v>
      </c>
      <c r="K69" s="42">
        <v>0</v>
      </c>
      <c r="L69" s="42">
        <v>0</v>
      </c>
      <c r="M69" s="42">
        <v>0</v>
      </c>
      <c r="N69" s="37"/>
      <c r="O69" s="37"/>
      <c r="P69" s="37"/>
      <c r="Q69" s="37"/>
      <c r="R69" s="42">
        <v>28</v>
      </c>
      <c r="S69" s="44">
        <f t="shared" si="7"/>
        <v>0</v>
      </c>
      <c r="T69" s="33">
        <f t="shared" si="8"/>
        <v>2</v>
      </c>
      <c r="U69" s="33">
        <f t="shared" si="9"/>
        <v>1.3</v>
      </c>
    </row>
    <row r="70" spans="1:21" s="7" customFormat="1" ht="31.5" x14ac:dyDescent="0.25">
      <c r="A70" s="22">
        <f t="shared" si="36"/>
        <v>16</v>
      </c>
      <c r="B70" s="23" t="s">
        <v>12</v>
      </c>
      <c r="C70" s="24">
        <f t="shared" si="33"/>
        <v>37</v>
      </c>
      <c r="D70" s="25">
        <f t="shared" si="34"/>
        <v>37</v>
      </c>
      <c r="E70" s="25">
        <f t="shared" si="35"/>
        <v>0</v>
      </c>
      <c r="F70" s="26">
        <v>37</v>
      </c>
      <c r="G70" s="26">
        <v>1</v>
      </c>
      <c r="H70" s="26">
        <v>1</v>
      </c>
      <c r="I70" s="26"/>
      <c r="J70" s="42"/>
      <c r="K70" s="42"/>
      <c r="L70" s="42"/>
      <c r="M70" s="42"/>
      <c r="N70" s="37"/>
      <c r="O70" s="37"/>
      <c r="P70" s="37"/>
      <c r="Q70" s="37"/>
      <c r="R70" s="42">
        <v>37</v>
      </c>
      <c r="S70" s="44">
        <f t="shared" si="7"/>
        <v>0</v>
      </c>
      <c r="T70" s="33">
        <f t="shared" si="8"/>
        <v>2</v>
      </c>
      <c r="U70" s="33">
        <f t="shared" si="9"/>
        <v>1.3</v>
      </c>
    </row>
    <row r="71" spans="1:21" s="3" customFormat="1" ht="31.5" x14ac:dyDescent="0.25">
      <c r="A71" s="22">
        <f t="shared" si="36"/>
        <v>17</v>
      </c>
      <c r="B71" s="23" t="s">
        <v>62</v>
      </c>
      <c r="C71" s="24">
        <f t="shared" si="33"/>
        <v>413</v>
      </c>
      <c r="D71" s="25">
        <f t="shared" si="34"/>
        <v>413</v>
      </c>
      <c r="E71" s="25">
        <f t="shared" si="35"/>
        <v>0</v>
      </c>
      <c r="F71" s="26">
        <v>32</v>
      </c>
      <c r="G71" s="26">
        <v>0</v>
      </c>
      <c r="H71" s="26">
        <v>2</v>
      </c>
      <c r="I71" s="26"/>
      <c r="J71" s="42">
        <v>58</v>
      </c>
      <c r="K71" s="42">
        <v>0</v>
      </c>
      <c r="L71" s="42">
        <v>323</v>
      </c>
      <c r="M71" s="42">
        <v>0</v>
      </c>
      <c r="N71" s="37">
        <v>58</v>
      </c>
      <c r="O71" s="37"/>
      <c r="P71" s="37">
        <v>323</v>
      </c>
      <c r="Q71" s="37"/>
      <c r="R71" s="42">
        <f>+C71-(C71*0.15)</f>
        <v>351.05</v>
      </c>
      <c r="S71" s="44">
        <f t="shared" si="7"/>
        <v>-61.949999999999989</v>
      </c>
      <c r="T71" s="33">
        <f t="shared" si="8"/>
        <v>2</v>
      </c>
      <c r="U71" s="33">
        <f t="shared" si="9"/>
        <v>1.3</v>
      </c>
    </row>
    <row r="72" spans="1:21" s="3" customFormat="1" ht="31.5" x14ac:dyDescent="0.25">
      <c r="A72" s="22">
        <f t="shared" si="36"/>
        <v>18</v>
      </c>
      <c r="B72" s="23" t="s">
        <v>63</v>
      </c>
      <c r="C72" s="24">
        <f t="shared" si="33"/>
        <v>216</v>
      </c>
      <c r="D72" s="25">
        <f t="shared" si="34"/>
        <v>216</v>
      </c>
      <c r="E72" s="25">
        <f t="shared" si="35"/>
        <v>0</v>
      </c>
      <c r="F72" s="26">
        <v>34</v>
      </c>
      <c r="G72" s="26">
        <v>1</v>
      </c>
      <c r="H72" s="26"/>
      <c r="I72" s="26"/>
      <c r="J72" s="42">
        <v>182</v>
      </c>
      <c r="K72" s="42">
        <v>0</v>
      </c>
      <c r="L72" s="42">
        <v>0</v>
      </c>
      <c r="M72" s="42">
        <v>0</v>
      </c>
      <c r="N72" s="37">
        <v>182</v>
      </c>
      <c r="O72" s="37">
        <v>0</v>
      </c>
      <c r="P72" s="37">
        <v>0</v>
      </c>
      <c r="Q72" s="37">
        <v>0</v>
      </c>
      <c r="R72" s="42">
        <f>+C72-(C72*0.15)</f>
        <v>183.6</v>
      </c>
      <c r="S72" s="44">
        <f t="shared" si="7"/>
        <v>-32.400000000000006</v>
      </c>
      <c r="T72" s="33">
        <f t="shared" si="8"/>
        <v>1</v>
      </c>
      <c r="U72" s="33">
        <f t="shared" si="9"/>
        <v>0.65</v>
      </c>
    </row>
    <row r="73" spans="1:21" s="7" customFormat="1" ht="31.5" x14ac:dyDescent="0.25">
      <c r="A73" s="22">
        <f t="shared" si="36"/>
        <v>19</v>
      </c>
      <c r="B73" s="23" t="s">
        <v>11</v>
      </c>
      <c r="C73" s="24">
        <f t="shared" ref="C73:C83" si="37">SUM(D73:E73)</f>
        <v>26</v>
      </c>
      <c r="D73" s="25">
        <f t="shared" si="34"/>
        <v>26</v>
      </c>
      <c r="E73" s="25">
        <f t="shared" si="30"/>
        <v>0</v>
      </c>
      <c r="F73" s="26">
        <v>26</v>
      </c>
      <c r="G73" s="26">
        <v>1</v>
      </c>
      <c r="H73" s="26">
        <v>1</v>
      </c>
      <c r="I73" s="26"/>
      <c r="J73" s="42"/>
      <c r="K73" s="42"/>
      <c r="L73" s="42"/>
      <c r="M73" s="42"/>
      <c r="N73" s="37"/>
      <c r="O73" s="37"/>
      <c r="P73" s="37"/>
      <c r="Q73" s="37"/>
      <c r="R73" s="42">
        <v>26</v>
      </c>
      <c r="S73" s="44">
        <f t="shared" si="7"/>
        <v>0</v>
      </c>
      <c r="T73" s="33">
        <f t="shared" si="8"/>
        <v>2</v>
      </c>
      <c r="U73" s="33">
        <f t="shared" si="9"/>
        <v>1.3</v>
      </c>
    </row>
    <row r="74" spans="1:21" s="3" customFormat="1" ht="31.5" x14ac:dyDescent="0.25">
      <c r="A74" s="22">
        <f t="shared" si="36"/>
        <v>20</v>
      </c>
      <c r="B74" s="23" t="s">
        <v>58</v>
      </c>
      <c r="C74" s="24">
        <f t="shared" si="37"/>
        <v>24</v>
      </c>
      <c r="D74" s="25">
        <f t="shared" si="34"/>
        <v>24</v>
      </c>
      <c r="E74" s="25">
        <f t="shared" si="30"/>
        <v>0</v>
      </c>
      <c r="F74" s="26">
        <v>24</v>
      </c>
      <c r="G74" s="26">
        <v>1</v>
      </c>
      <c r="H74" s="26">
        <v>1</v>
      </c>
      <c r="I74" s="26"/>
      <c r="J74" s="42">
        <v>0</v>
      </c>
      <c r="K74" s="42">
        <v>0</v>
      </c>
      <c r="L74" s="42">
        <v>0</v>
      </c>
      <c r="M74" s="42">
        <v>0</v>
      </c>
      <c r="N74" s="37"/>
      <c r="O74" s="37"/>
      <c r="P74" s="37"/>
      <c r="Q74" s="37"/>
      <c r="R74" s="42">
        <v>24</v>
      </c>
      <c r="S74" s="44">
        <f t="shared" si="7"/>
        <v>0</v>
      </c>
      <c r="T74" s="33">
        <f t="shared" si="8"/>
        <v>2</v>
      </c>
      <c r="U74" s="33">
        <f t="shared" si="9"/>
        <v>1.3</v>
      </c>
    </row>
    <row r="75" spans="1:21" s="3" customFormat="1" ht="17.25" x14ac:dyDescent="0.25">
      <c r="A75" s="22">
        <f t="shared" si="36"/>
        <v>21</v>
      </c>
      <c r="B75" s="23" t="s">
        <v>66</v>
      </c>
      <c r="C75" s="24">
        <f t="shared" ref="C75:C78" si="38">SUM(D75:E75)</f>
        <v>51</v>
      </c>
      <c r="D75" s="25">
        <f t="shared" si="34"/>
        <v>51</v>
      </c>
      <c r="E75" s="25">
        <f t="shared" si="30"/>
        <v>0</v>
      </c>
      <c r="F75" s="26">
        <v>51</v>
      </c>
      <c r="G75" s="26">
        <v>0</v>
      </c>
      <c r="H75" s="26">
        <v>1</v>
      </c>
      <c r="I75" s="26"/>
      <c r="J75" s="42">
        <v>0</v>
      </c>
      <c r="K75" s="42">
        <v>0</v>
      </c>
      <c r="L75" s="42">
        <v>0</v>
      </c>
      <c r="M75" s="42">
        <v>0</v>
      </c>
      <c r="N75" s="37"/>
      <c r="O75" s="37"/>
      <c r="P75" s="37"/>
      <c r="Q75" s="37"/>
      <c r="R75" s="42">
        <v>51</v>
      </c>
      <c r="S75" s="44">
        <f t="shared" ref="S75:S108" si="39">+R75-C75</f>
        <v>0</v>
      </c>
      <c r="T75" s="33">
        <f t="shared" si="8"/>
        <v>1</v>
      </c>
      <c r="U75" s="33">
        <f t="shared" si="9"/>
        <v>0.65</v>
      </c>
    </row>
    <row r="76" spans="1:21" s="3" customFormat="1" ht="30" customHeight="1" x14ac:dyDescent="0.25">
      <c r="A76" s="22">
        <f t="shared" si="36"/>
        <v>22</v>
      </c>
      <c r="B76" s="23" t="s">
        <v>68</v>
      </c>
      <c r="C76" s="24">
        <f t="shared" si="38"/>
        <v>32</v>
      </c>
      <c r="D76" s="25">
        <f t="shared" si="34"/>
        <v>32</v>
      </c>
      <c r="E76" s="25">
        <f t="shared" si="30"/>
        <v>0</v>
      </c>
      <c r="F76" s="26">
        <v>32</v>
      </c>
      <c r="G76" s="26">
        <v>1</v>
      </c>
      <c r="H76" s="26"/>
      <c r="I76" s="26"/>
      <c r="J76" s="42">
        <v>0</v>
      </c>
      <c r="K76" s="42">
        <v>0</v>
      </c>
      <c r="L76" s="42">
        <v>0</v>
      </c>
      <c r="M76" s="42">
        <v>0</v>
      </c>
      <c r="N76" s="37"/>
      <c r="O76" s="37"/>
      <c r="P76" s="37"/>
      <c r="Q76" s="37"/>
      <c r="R76" s="42">
        <v>32</v>
      </c>
      <c r="S76" s="44">
        <f t="shared" si="39"/>
        <v>0</v>
      </c>
      <c r="T76" s="33">
        <f t="shared" si="8"/>
        <v>1</v>
      </c>
      <c r="U76" s="33">
        <f t="shared" si="9"/>
        <v>0.65</v>
      </c>
    </row>
    <row r="77" spans="1:21" s="3" customFormat="1" ht="30" customHeight="1" x14ac:dyDescent="0.25">
      <c r="A77" s="22">
        <f t="shared" si="36"/>
        <v>23</v>
      </c>
      <c r="B77" s="23" t="s">
        <v>54</v>
      </c>
      <c r="C77" s="24">
        <f t="shared" si="38"/>
        <v>48</v>
      </c>
      <c r="D77" s="25">
        <f t="shared" si="34"/>
        <v>48</v>
      </c>
      <c r="E77" s="25">
        <f t="shared" si="30"/>
        <v>0</v>
      </c>
      <c r="F77" s="26">
        <v>48</v>
      </c>
      <c r="G77" s="26">
        <v>1</v>
      </c>
      <c r="H77" s="26">
        <v>1</v>
      </c>
      <c r="I77" s="26"/>
      <c r="J77" s="42">
        <v>0</v>
      </c>
      <c r="K77" s="42">
        <v>0</v>
      </c>
      <c r="L77" s="42">
        <v>0</v>
      </c>
      <c r="M77" s="42">
        <v>0</v>
      </c>
      <c r="N77" s="37"/>
      <c r="O77" s="37"/>
      <c r="P77" s="37"/>
      <c r="Q77" s="37"/>
      <c r="R77" s="42">
        <v>48</v>
      </c>
      <c r="S77" s="44">
        <f t="shared" si="39"/>
        <v>0</v>
      </c>
      <c r="T77" s="33">
        <f t="shared" si="8"/>
        <v>2</v>
      </c>
      <c r="U77" s="33">
        <f t="shared" si="9"/>
        <v>1.3</v>
      </c>
    </row>
    <row r="78" spans="1:21" s="7" customFormat="1" ht="30" customHeight="1" x14ac:dyDescent="0.25">
      <c r="A78" s="22">
        <f t="shared" si="36"/>
        <v>24</v>
      </c>
      <c r="B78" s="23" t="s">
        <v>15</v>
      </c>
      <c r="C78" s="24">
        <f t="shared" si="38"/>
        <v>20</v>
      </c>
      <c r="D78" s="25">
        <f t="shared" si="34"/>
        <v>20</v>
      </c>
      <c r="E78" s="25">
        <f t="shared" si="30"/>
        <v>0</v>
      </c>
      <c r="F78" s="26">
        <v>20</v>
      </c>
      <c r="G78" s="26">
        <v>1</v>
      </c>
      <c r="H78" s="26">
        <v>1</v>
      </c>
      <c r="I78" s="26"/>
      <c r="J78" s="42">
        <v>0</v>
      </c>
      <c r="K78" s="42">
        <v>0</v>
      </c>
      <c r="L78" s="42">
        <v>0</v>
      </c>
      <c r="M78" s="42">
        <v>0</v>
      </c>
      <c r="N78" s="37"/>
      <c r="O78" s="37"/>
      <c r="P78" s="37"/>
      <c r="Q78" s="37"/>
      <c r="R78" s="42">
        <v>20</v>
      </c>
      <c r="S78" s="44">
        <f t="shared" si="39"/>
        <v>0</v>
      </c>
      <c r="T78" s="33">
        <f t="shared" si="8"/>
        <v>2</v>
      </c>
      <c r="U78" s="33">
        <f t="shared" si="9"/>
        <v>1.3</v>
      </c>
    </row>
    <row r="79" spans="1:21" s="3" customFormat="1" ht="30.75" customHeight="1" x14ac:dyDescent="0.25">
      <c r="A79" s="22">
        <f t="shared" si="36"/>
        <v>25</v>
      </c>
      <c r="B79" s="23" t="s">
        <v>65</v>
      </c>
      <c r="C79" s="24">
        <f t="shared" si="37"/>
        <v>108</v>
      </c>
      <c r="D79" s="25">
        <f t="shared" si="34"/>
        <v>108</v>
      </c>
      <c r="E79" s="25">
        <f t="shared" si="30"/>
        <v>0</v>
      </c>
      <c r="F79" s="26">
        <f>80+28</f>
        <v>108</v>
      </c>
      <c r="G79" s="26">
        <v>1</v>
      </c>
      <c r="H79" s="26">
        <v>2</v>
      </c>
      <c r="I79" s="26"/>
      <c r="J79" s="42">
        <v>0</v>
      </c>
      <c r="K79" s="42">
        <v>0</v>
      </c>
      <c r="L79" s="42">
        <v>0</v>
      </c>
      <c r="M79" s="42">
        <v>0</v>
      </c>
      <c r="N79" s="37"/>
      <c r="O79" s="37"/>
      <c r="P79" s="37"/>
      <c r="Q79" s="37"/>
      <c r="R79" s="42">
        <v>108</v>
      </c>
      <c r="S79" s="44">
        <f t="shared" si="39"/>
        <v>0</v>
      </c>
      <c r="T79" s="33">
        <f t="shared" si="8"/>
        <v>3</v>
      </c>
      <c r="U79" s="33">
        <f t="shared" si="9"/>
        <v>1.9500000000000002</v>
      </c>
    </row>
    <row r="80" spans="1:21" s="7" customFormat="1" ht="29.25" customHeight="1" x14ac:dyDescent="0.25">
      <c r="A80" s="22">
        <f t="shared" si="36"/>
        <v>26</v>
      </c>
      <c r="B80" s="23" t="s">
        <v>75</v>
      </c>
      <c r="C80" s="24">
        <f t="shared" ref="C80" si="40">SUM(D80:E80)</f>
        <v>210</v>
      </c>
      <c r="D80" s="25">
        <f t="shared" si="34"/>
        <v>210</v>
      </c>
      <c r="E80" s="25">
        <f t="shared" si="30"/>
        <v>0</v>
      </c>
      <c r="F80" s="26">
        <v>65</v>
      </c>
      <c r="G80" s="26">
        <v>1</v>
      </c>
      <c r="H80" s="26">
        <v>2</v>
      </c>
      <c r="I80" s="26"/>
      <c r="J80" s="42">
        <v>145</v>
      </c>
      <c r="K80" s="42">
        <v>0</v>
      </c>
      <c r="L80" s="42">
        <v>0</v>
      </c>
      <c r="M80" s="42">
        <v>0</v>
      </c>
      <c r="N80" s="37">
        <v>145</v>
      </c>
      <c r="O80" s="37"/>
      <c r="P80" s="37"/>
      <c r="Q80" s="37"/>
      <c r="R80" s="42">
        <f>+C80-(C80*0.1)</f>
        <v>189</v>
      </c>
      <c r="S80" s="44">
        <f t="shared" si="39"/>
        <v>-21</v>
      </c>
      <c r="T80" s="33">
        <f t="shared" si="8"/>
        <v>3</v>
      </c>
      <c r="U80" s="33">
        <f t="shared" si="9"/>
        <v>1.9500000000000002</v>
      </c>
    </row>
    <row r="81" spans="1:21" s="3" customFormat="1" ht="47.25" x14ac:dyDescent="0.25">
      <c r="A81" s="22">
        <f t="shared" si="36"/>
        <v>27</v>
      </c>
      <c r="B81" s="23" t="s">
        <v>57</v>
      </c>
      <c r="C81" s="24">
        <f t="shared" ref="C81" si="41">SUM(D81:E81)</f>
        <v>9581</v>
      </c>
      <c r="D81" s="25">
        <f t="shared" si="34"/>
        <v>9581</v>
      </c>
      <c r="E81" s="25">
        <f t="shared" si="30"/>
        <v>0</v>
      </c>
      <c r="F81" s="26">
        <v>62</v>
      </c>
      <c r="G81" s="26">
        <v>1</v>
      </c>
      <c r="H81" s="26">
        <v>1</v>
      </c>
      <c r="I81" s="26"/>
      <c r="J81" s="42">
        <v>210</v>
      </c>
      <c r="K81" s="42">
        <v>0</v>
      </c>
      <c r="L81" s="42">
        <v>9309</v>
      </c>
      <c r="M81" s="42">
        <v>0</v>
      </c>
      <c r="N81" s="37">
        <v>210</v>
      </c>
      <c r="O81" s="37">
        <v>0</v>
      </c>
      <c r="P81" s="37">
        <v>0</v>
      </c>
      <c r="Q81" s="37">
        <v>0</v>
      </c>
      <c r="R81" s="42">
        <f>+C81-41</f>
        <v>9540</v>
      </c>
      <c r="S81" s="44">
        <f t="shared" si="39"/>
        <v>-41</v>
      </c>
      <c r="T81" s="33">
        <f t="shared" si="8"/>
        <v>2</v>
      </c>
      <c r="U81" s="33">
        <f t="shared" si="9"/>
        <v>1.3</v>
      </c>
    </row>
    <row r="82" spans="1:21" s="3" customFormat="1" ht="17.25" x14ac:dyDescent="0.25">
      <c r="A82" s="22">
        <f t="shared" si="36"/>
        <v>28</v>
      </c>
      <c r="B82" s="23" t="s">
        <v>67</v>
      </c>
      <c r="C82" s="24">
        <f t="shared" si="37"/>
        <v>1341</v>
      </c>
      <c r="D82" s="25">
        <f t="shared" si="34"/>
        <v>1341</v>
      </c>
      <c r="E82" s="25">
        <f t="shared" si="30"/>
        <v>0</v>
      </c>
      <c r="F82" s="26">
        <v>111</v>
      </c>
      <c r="G82" s="26">
        <v>1</v>
      </c>
      <c r="H82" s="26">
        <v>1</v>
      </c>
      <c r="I82" s="26"/>
      <c r="J82" s="42">
        <v>224</v>
      </c>
      <c r="K82" s="42">
        <v>0</v>
      </c>
      <c r="L82" s="42">
        <v>1006</v>
      </c>
      <c r="M82" s="42">
        <v>0</v>
      </c>
      <c r="N82" s="37">
        <v>224</v>
      </c>
      <c r="O82" s="37">
        <v>0</v>
      </c>
      <c r="P82" s="37">
        <v>1006</v>
      </c>
      <c r="Q82" s="37">
        <v>0</v>
      </c>
      <c r="R82" s="42">
        <f>+C82-(C82*0.1)</f>
        <v>1206.9000000000001</v>
      </c>
      <c r="S82" s="44">
        <f t="shared" si="39"/>
        <v>-134.09999999999991</v>
      </c>
      <c r="T82" s="33">
        <f t="shared" si="8"/>
        <v>2</v>
      </c>
      <c r="U82" s="33">
        <f t="shared" si="9"/>
        <v>1.3</v>
      </c>
    </row>
    <row r="83" spans="1:21" s="3" customFormat="1" ht="31.5" x14ac:dyDescent="0.25">
      <c r="A83" s="22">
        <f t="shared" si="36"/>
        <v>29</v>
      </c>
      <c r="B83" s="23" t="s">
        <v>76</v>
      </c>
      <c r="C83" s="24">
        <f t="shared" si="37"/>
        <v>185</v>
      </c>
      <c r="D83" s="25">
        <f t="shared" si="34"/>
        <v>152</v>
      </c>
      <c r="E83" s="25">
        <f t="shared" si="30"/>
        <v>33</v>
      </c>
      <c r="F83" s="26">
        <v>152</v>
      </c>
      <c r="G83" s="26">
        <v>1</v>
      </c>
      <c r="H83" s="26">
        <v>1</v>
      </c>
      <c r="I83" s="26">
        <v>33</v>
      </c>
      <c r="J83" s="42">
        <v>0</v>
      </c>
      <c r="K83" s="42">
        <v>0</v>
      </c>
      <c r="L83" s="42">
        <v>0</v>
      </c>
      <c r="M83" s="42">
        <v>0</v>
      </c>
      <c r="N83" s="37"/>
      <c r="O83" s="37"/>
      <c r="P83" s="37"/>
      <c r="Q83" s="37"/>
      <c r="R83" s="42">
        <f>+C83-(C83*0.1)</f>
        <v>166.5</v>
      </c>
      <c r="S83" s="44">
        <f t="shared" si="39"/>
        <v>-18.5</v>
      </c>
      <c r="T83" s="33">
        <f>+(G83+H83)</f>
        <v>2</v>
      </c>
      <c r="U83" s="33">
        <f t="shared" ref="U83:U108" si="42">+T83-(T83*0.35)</f>
        <v>1.3</v>
      </c>
    </row>
    <row r="84" spans="1:21" ht="17.25" x14ac:dyDescent="0.25">
      <c r="A84" s="156" t="s">
        <v>106</v>
      </c>
      <c r="B84" s="156"/>
      <c r="C84" s="19">
        <f t="shared" ref="C84:S84" si="43">SUM(C85:C108)</f>
        <v>8613</v>
      </c>
      <c r="D84" s="19">
        <f t="shared" si="43"/>
        <v>3584</v>
      </c>
      <c r="E84" s="19">
        <f t="shared" si="43"/>
        <v>5029</v>
      </c>
      <c r="F84" s="19">
        <f t="shared" si="43"/>
        <v>1263</v>
      </c>
      <c r="G84" s="19">
        <f t="shared" si="43"/>
        <v>9</v>
      </c>
      <c r="H84" s="19">
        <f t="shared" si="43"/>
        <v>22</v>
      </c>
      <c r="I84" s="19">
        <f t="shared" si="43"/>
        <v>484</v>
      </c>
      <c r="J84" s="19">
        <f t="shared" si="43"/>
        <v>1222</v>
      </c>
      <c r="K84" s="19">
        <f t="shared" si="43"/>
        <v>1591</v>
      </c>
      <c r="L84" s="19">
        <f t="shared" si="43"/>
        <v>1099</v>
      </c>
      <c r="M84" s="19">
        <f t="shared" si="43"/>
        <v>2954</v>
      </c>
      <c r="N84" s="9">
        <f t="shared" si="43"/>
        <v>784</v>
      </c>
      <c r="O84" s="9">
        <f t="shared" si="43"/>
        <v>1591</v>
      </c>
      <c r="P84" s="9">
        <f t="shared" si="43"/>
        <v>1099</v>
      </c>
      <c r="Q84" s="9">
        <f t="shared" si="43"/>
        <v>2954</v>
      </c>
      <c r="R84" s="19">
        <f t="shared" si="43"/>
        <v>7506.25</v>
      </c>
      <c r="S84" s="46">
        <f t="shared" si="43"/>
        <v>-1106.7499999999998</v>
      </c>
      <c r="T84" s="33">
        <f>+(G84+H84)</f>
        <v>31</v>
      </c>
      <c r="U84" s="33">
        <f t="shared" si="42"/>
        <v>20.149999999999999</v>
      </c>
    </row>
    <row r="85" spans="1:21" s="3" customFormat="1" ht="29.25" customHeight="1" x14ac:dyDescent="0.25">
      <c r="A85" s="22">
        <v>1</v>
      </c>
      <c r="B85" s="23" t="s">
        <v>77</v>
      </c>
      <c r="C85" s="24">
        <f t="shared" ref="C85:C96" si="44">SUM(D85:E85)</f>
        <v>1593</v>
      </c>
      <c r="D85" s="25">
        <f t="shared" ref="D85:D108" si="45">SUM(F85,J85,L85)</f>
        <v>666</v>
      </c>
      <c r="E85" s="25">
        <f t="shared" ref="E85:E108" si="46">SUM(I85,K85,M85)</f>
        <v>927</v>
      </c>
      <c r="F85" s="26">
        <v>75</v>
      </c>
      <c r="G85" s="26">
        <v>1</v>
      </c>
      <c r="H85" s="26">
        <v>3</v>
      </c>
      <c r="I85" s="26"/>
      <c r="J85" s="42">
        <v>314</v>
      </c>
      <c r="K85" s="42">
        <v>0</v>
      </c>
      <c r="L85" s="42">
        <v>277</v>
      </c>
      <c r="M85" s="42">
        <v>927</v>
      </c>
      <c r="N85" s="37">
        <v>314</v>
      </c>
      <c r="O85" s="37"/>
      <c r="P85" s="37">
        <v>277</v>
      </c>
      <c r="Q85" s="37">
        <v>927</v>
      </c>
      <c r="R85" s="42">
        <f>+C85-(C85*0.15)</f>
        <v>1354.05</v>
      </c>
      <c r="S85" s="44">
        <f t="shared" si="39"/>
        <v>-238.95000000000005</v>
      </c>
      <c r="T85" s="33">
        <f>+(G85+H85)</f>
        <v>4</v>
      </c>
      <c r="U85" s="33">
        <f t="shared" si="42"/>
        <v>2.6</v>
      </c>
    </row>
    <row r="86" spans="1:21" s="3" customFormat="1" ht="30" customHeight="1" x14ac:dyDescent="0.25">
      <c r="A86" s="22">
        <f t="shared" ref="A86:A108" si="47">+A85+1</f>
        <v>2</v>
      </c>
      <c r="B86" s="23" t="s">
        <v>86</v>
      </c>
      <c r="C86" s="24">
        <f t="shared" ref="C86:C88" si="48">SUM(D86:E86)</f>
        <v>132</v>
      </c>
      <c r="D86" s="25">
        <f t="shared" si="45"/>
        <v>108</v>
      </c>
      <c r="E86" s="25">
        <f t="shared" si="46"/>
        <v>24</v>
      </c>
      <c r="F86" s="26">
        <v>108</v>
      </c>
      <c r="G86" s="26">
        <v>1</v>
      </c>
      <c r="H86" s="26">
        <v>1</v>
      </c>
      <c r="I86" s="26">
        <v>24</v>
      </c>
      <c r="J86" s="42">
        <v>0</v>
      </c>
      <c r="K86" s="42">
        <v>0</v>
      </c>
      <c r="L86" s="42">
        <v>0</v>
      </c>
      <c r="M86" s="42">
        <v>0</v>
      </c>
      <c r="N86" s="37"/>
      <c r="O86" s="37"/>
      <c r="P86" s="37"/>
      <c r="Q86" s="37"/>
      <c r="R86" s="42">
        <f>+C86-(C86*0.1)</f>
        <v>118.8</v>
      </c>
      <c r="S86" s="44">
        <f t="shared" si="39"/>
        <v>-13.200000000000003</v>
      </c>
      <c r="T86" s="33">
        <f>+(G86+H86)</f>
        <v>2</v>
      </c>
      <c r="U86" s="33">
        <f t="shared" si="42"/>
        <v>1.3</v>
      </c>
    </row>
    <row r="87" spans="1:21" s="3" customFormat="1" ht="31.5" x14ac:dyDescent="0.25">
      <c r="A87" s="22">
        <f t="shared" si="47"/>
        <v>3</v>
      </c>
      <c r="B87" s="23" t="s">
        <v>81</v>
      </c>
      <c r="C87" s="24">
        <f t="shared" si="48"/>
        <v>33</v>
      </c>
      <c r="D87" s="25">
        <f t="shared" si="45"/>
        <v>33</v>
      </c>
      <c r="E87" s="25">
        <f t="shared" si="46"/>
        <v>0</v>
      </c>
      <c r="F87" s="26">
        <v>9</v>
      </c>
      <c r="G87" s="26"/>
      <c r="H87" s="26">
        <v>1</v>
      </c>
      <c r="I87" s="26"/>
      <c r="J87" s="42">
        <v>24</v>
      </c>
      <c r="K87" s="42">
        <v>0</v>
      </c>
      <c r="L87" s="42">
        <v>0</v>
      </c>
      <c r="M87" s="42">
        <v>0</v>
      </c>
      <c r="N87" s="37">
        <v>24</v>
      </c>
      <c r="O87" s="37"/>
      <c r="P87" s="37"/>
      <c r="Q87" s="37"/>
      <c r="R87" s="42">
        <v>33</v>
      </c>
      <c r="S87" s="44">
        <f t="shared" si="39"/>
        <v>0</v>
      </c>
      <c r="T87" s="33">
        <f>+(G87+H87)</f>
        <v>1</v>
      </c>
      <c r="U87" s="33">
        <f t="shared" si="42"/>
        <v>0.65</v>
      </c>
    </row>
    <row r="88" spans="1:21" s="3" customFormat="1" ht="31.5" x14ac:dyDescent="0.25">
      <c r="A88" s="22">
        <f t="shared" si="47"/>
        <v>4</v>
      </c>
      <c r="B88" s="23" t="s">
        <v>85</v>
      </c>
      <c r="C88" s="24">
        <f t="shared" si="48"/>
        <v>194</v>
      </c>
      <c r="D88" s="25">
        <f t="shared" si="45"/>
        <v>109</v>
      </c>
      <c r="E88" s="25">
        <f t="shared" si="46"/>
        <v>85</v>
      </c>
      <c r="F88" s="26">
        <v>20</v>
      </c>
      <c r="G88" s="26"/>
      <c r="H88" s="26">
        <v>1</v>
      </c>
      <c r="I88" s="26">
        <v>85</v>
      </c>
      <c r="J88" s="42">
        <v>89</v>
      </c>
      <c r="K88" s="42">
        <v>0</v>
      </c>
      <c r="L88" s="42">
        <v>0</v>
      </c>
      <c r="M88" s="42">
        <v>0</v>
      </c>
      <c r="N88" s="37">
        <v>89</v>
      </c>
      <c r="O88" s="37"/>
      <c r="P88" s="37"/>
      <c r="Q88" s="37"/>
      <c r="R88" s="42">
        <f>+C88-(C88*0.1)</f>
        <v>174.6</v>
      </c>
      <c r="S88" s="44">
        <f t="shared" si="39"/>
        <v>-19.400000000000006</v>
      </c>
      <c r="T88" s="33">
        <f t="shared" ref="T88:T92" si="49">+(G88+H88)</f>
        <v>1</v>
      </c>
      <c r="U88" s="33">
        <f t="shared" si="42"/>
        <v>0.65</v>
      </c>
    </row>
    <row r="89" spans="1:21" s="3" customFormat="1" ht="47.25" x14ac:dyDescent="0.25">
      <c r="A89" s="22">
        <f t="shared" si="47"/>
        <v>5</v>
      </c>
      <c r="B89" s="23" t="s">
        <v>118</v>
      </c>
      <c r="C89" s="24">
        <f t="shared" ref="C89:C92" si="50">SUM(D89:E89)</f>
        <v>89</v>
      </c>
      <c r="D89" s="25">
        <f t="shared" si="45"/>
        <v>89</v>
      </c>
      <c r="E89" s="25">
        <f t="shared" si="46"/>
        <v>0</v>
      </c>
      <c r="F89" s="26">
        <v>89</v>
      </c>
      <c r="G89" s="26"/>
      <c r="H89" s="26"/>
      <c r="I89" s="26"/>
      <c r="J89" s="42">
        <v>0</v>
      </c>
      <c r="K89" s="42">
        <v>0</v>
      </c>
      <c r="L89" s="42">
        <v>0</v>
      </c>
      <c r="M89" s="42">
        <v>0</v>
      </c>
      <c r="N89" s="37"/>
      <c r="O89" s="37"/>
      <c r="P89" s="37"/>
      <c r="Q89" s="37"/>
      <c r="R89" s="42">
        <v>89</v>
      </c>
      <c r="S89" s="44">
        <f t="shared" si="39"/>
        <v>0</v>
      </c>
      <c r="T89" s="33">
        <f t="shared" si="49"/>
        <v>0</v>
      </c>
      <c r="U89" s="33">
        <f t="shared" si="42"/>
        <v>0</v>
      </c>
    </row>
    <row r="90" spans="1:21" s="3" customFormat="1" ht="31.5" x14ac:dyDescent="0.25">
      <c r="A90" s="22">
        <f t="shared" si="47"/>
        <v>6</v>
      </c>
      <c r="B90" s="23" t="s">
        <v>84</v>
      </c>
      <c r="C90" s="24">
        <f t="shared" si="50"/>
        <v>73</v>
      </c>
      <c r="D90" s="25">
        <f t="shared" si="45"/>
        <v>73</v>
      </c>
      <c r="E90" s="25">
        <f t="shared" si="46"/>
        <v>0</v>
      </c>
      <c r="F90" s="26">
        <v>73</v>
      </c>
      <c r="G90" s="26"/>
      <c r="H90" s="26"/>
      <c r="I90" s="26"/>
      <c r="J90" s="42">
        <v>0</v>
      </c>
      <c r="K90" s="42">
        <v>0</v>
      </c>
      <c r="L90" s="42">
        <v>0</v>
      </c>
      <c r="M90" s="42">
        <v>0</v>
      </c>
      <c r="N90" s="37"/>
      <c r="O90" s="37"/>
      <c r="P90" s="37"/>
      <c r="Q90" s="37"/>
      <c r="R90" s="42">
        <v>73</v>
      </c>
      <c r="S90" s="44">
        <f t="shared" si="39"/>
        <v>0</v>
      </c>
      <c r="T90" s="33">
        <f t="shared" si="49"/>
        <v>0</v>
      </c>
      <c r="U90" s="33">
        <f t="shared" si="42"/>
        <v>0</v>
      </c>
    </row>
    <row r="91" spans="1:21" s="7" customFormat="1" ht="21.75" customHeight="1" x14ac:dyDescent="0.25">
      <c r="A91" s="22">
        <f t="shared" si="47"/>
        <v>7</v>
      </c>
      <c r="B91" s="23" t="s">
        <v>13</v>
      </c>
      <c r="C91" s="24">
        <f t="shared" si="50"/>
        <v>34</v>
      </c>
      <c r="D91" s="25">
        <f t="shared" si="45"/>
        <v>34</v>
      </c>
      <c r="E91" s="25">
        <f t="shared" si="46"/>
        <v>0</v>
      </c>
      <c r="F91" s="26">
        <v>34</v>
      </c>
      <c r="G91" s="26"/>
      <c r="H91" s="26"/>
      <c r="I91" s="26"/>
      <c r="J91" s="42"/>
      <c r="K91" s="42"/>
      <c r="L91" s="42"/>
      <c r="M91" s="42"/>
      <c r="N91" s="37"/>
      <c r="O91" s="37"/>
      <c r="P91" s="37"/>
      <c r="Q91" s="37"/>
      <c r="R91" s="42">
        <v>34</v>
      </c>
      <c r="S91" s="44">
        <f t="shared" si="39"/>
        <v>0</v>
      </c>
      <c r="T91" s="33">
        <f t="shared" si="49"/>
        <v>0</v>
      </c>
      <c r="U91" s="33">
        <f t="shared" si="42"/>
        <v>0</v>
      </c>
    </row>
    <row r="92" spans="1:21" s="3" customFormat="1" ht="31.5" x14ac:dyDescent="0.25">
      <c r="A92" s="22">
        <f t="shared" si="47"/>
        <v>8</v>
      </c>
      <c r="B92" s="23" t="s">
        <v>80</v>
      </c>
      <c r="C92" s="24">
        <f t="shared" si="50"/>
        <v>89</v>
      </c>
      <c r="D92" s="25">
        <f t="shared" si="45"/>
        <v>59</v>
      </c>
      <c r="E92" s="25">
        <f t="shared" si="46"/>
        <v>30</v>
      </c>
      <c r="F92" s="26">
        <v>59</v>
      </c>
      <c r="G92" s="26"/>
      <c r="H92" s="26">
        <v>1</v>
      </c>
      <c r="I92" s="26">
        <v>30</v>
      </c>
      <c r="J92" s="42">
        <v>0</v>
      </c>
      <c r="K92" s="42">
        <v>0</v>
      </c>
      <c r="L92" s="42">
        <v>0</v>
      </c>
      <c r="M92" s="42">
        <v>0</v>
      </c>
      <c r="N92" s="37"/>
      <c r="O92" s="37"/>
      <c r="P92" s="37"/>
      <c r="Q92" s="37"/>
      <c r="R92" s="42">
        <v>89</v>
      </c>
      <c r="S92" s="44">
        <f t="shared" si="39"/>
        <v>0</v>
      </c>
      <c r="T92" s="33">
        <f t="shared" si="49"/>
        <v>1</v>
      </c>
      <c r="U92" s="33">
        <f t="shared" si="42"/>
        <v>0.65</v>
      </c>
    </row>
    <row r="93" spans="1:21" s="3" customFormat="1" ht="31.5" x14ac:dyDescent="0.25">
      <c r="A93" s="22">
        <f t="shared" si="47"/>
        <v>9</v>
      </c>
      <c r="B93" s="23" t="s">
        <v>78</v>
      </c>
      <c r="C93" s="24">
        <f t="shared" si="44"/>
        <v>198</v>
      </c>
      <c r="D93" s="25">
        <f t="shared" si="45"/>
        <v>198</v>
      </c>
      <c r="E93" s="25">
        <f t="shared" si="46"/>
        <v>0</v>
      </c>
      <c r="F93" s="26">
        <v>198</v>
      </c>
      <c r="G93" s="26"/>
      <c r="H93" s="26">
        <v>1</v>
      </c>
      <c r="I93" s="26"/>
      <c r="J93" s="42">
        <v>0</v>
      </c>
      <c r="K93" s="42">
        <v>0</v>
      </c>
      <c r="L93" s="42">
        <v>0</v>
      </c>
      <c r="M93" s="42">
        <v>0</v>
      </c>
      <c r="N93" s="37"/>
      <c r="O93" s="37"/>
      <c r="P93" s="37"/>
      <c r="Q93" s="37"/>
      <c r="R93" s="42">
        <f>+C93-(C93*0.1)</f>
        <v>178.2</v>
      </c>
      <c r="S93" s="44">
        <f t="shared" si="39"/>
        <v>-19.800000000000011</v>
      </c>
      <c r="T93" s="33">
        <f>+(G93+H93)</f>
        <v>1</v>
      </c>
      <c r="U93" s="33">
        <f t="shared" si="42"/>
        <v>0.65</v>
      </c>
    </row>
    <row r="94" spans="1:21" s="3" customFormat="1" ht="31.5" x14ac:dyDescent="0.25">
      <c r="A94" s="22">
        <f t="shared" si="47"/>
        <v>10</v>
      </c>
      <c r="B94" s="23" t="s">
        <v>79</v>
      </c>
      <c r="C94" s="24">
        <f t="shared" si="44"/>
        <v>33</v>
      </c>
      <c r="D94" s="25">
        <f t="shared" si="45"/>
        <v>33</v>
      </c>
      <c r="E94" s="25">
        <f t="shared" si="46"/>
        <v>0</v>
      </c>
      <c r="F94" s="26">
        <v>33</v>
      </c>
      <c r="G94" s="26"/>
      <c r="H94" s="26">
        <v>1</v>
      </c>
      <c r="I94" s="26"/>
      <c r="J94" s="42">
        <v>0</v>
      </c>
      <c r="K94" s="42">
        <v>0</v>
      </c>
      <c r="L94" s="42">
        <v>0</v>
      </c>
      <c r="M94" s="42">
        <v>0</v>
      </c>
      <c r="N94" s="37"/>
      <c r="O94" s="37"/>
      <c r="P94" s="37"/>
      <c r="Q94" s="37"/>
      <c r="R94" s="42">
        <v>33</v>
      </c>
      <c r="S94" s="44">
        <f t="shared" si="39"/>
        <v>0</v>
      </c>
      <c r="T94" s="33">
        <f>+(G94+H94)</f>
        <v>1</v>
      </c>
      <c r="U94" s="33">
        <f t="shared" si="42"/>
        <v>0.65</v>
      </c>
    </row>
    <row r="95" spans="1:21" s="3" customFormat="1" ht="31.5" x14ac:dyDescent="0.25">
      <c r="A95" s="22">
        <f t="shared" si="47"/>
        <v>11</v>
      </c>
      <c r="B95" s="23" t="s">
        <v>82</v>
      </c>
      <c r="C95" s="24">
        <f t="shared" si="44"/>
        <v>20</v>
      </c>
      <c r="D95" s="25">
        <f t="shared" si="45"/>
        <v>20</v>
      </c>
      <c r="E95" s="25">
        <f t="shared" si="46"/>
        <v>0</v>
      </c>
      <c r="F95" s="26">
        <v>20</v>
      </c>
      <c r="G95" s="26"/>
      <c r="H95" s="26"/>
      <c r="I95" s="26"/>
      <c r="J95" s="42">
        <v>0</v>
      </c>
      <c r="K95" s="42">
        <v>0</v>
      </c>
      <c r="L95" s="42">
        <v>0</v>
      </c>
      <c r="M95" s="42">
        <v>0</v>
      </c>
      <c r="N95" s="37"/>
      <c r="O95" s="37"/>
      <c r="P95" s="37"/>
      <c r="Q95" s="37"/>
      <c r="R95" s="42">
        <v>20</v>
      </c>
      <c r="S95" s="44">
        <f t="shared" si="39"/>
        <v>0</v>
      </c>
      <c r="T95" s="33">
        <f>+(G95+H95)</f>
        <v>0</v>
      </c>
      <c r="U95" s="33">
        <f t="shared" si="42"/>
        <v>0</v>
      </c>
    </row>
    <row r="96" spans="1:21" s="3" customFormat="1" ht="31.5" x14ac:dyDescent="0.25">
      <c r="A96" s="22">
        <f t="shared" si="47"/>
        <v>12</v>
      </c>
      <c r="B96" s="23" t="s">
        <v>83</v>
      </c>
      <c r="C96" s="24">
        <f t="shared" si="44"/>
        <v>63</v>
      </c>
      <c r="D96" s="25">
        <f t="shared" si="45"/>
        <v>63</v>
      </c>
      <c r="E96" s="25">
        <f t="shared" si="46"/>
        <v>0</v>
      </c>
      <c r="F96" s="26">
        <v>28</v>
      </c>
      <c r="G96" s="26"/>
      <c r="H96" s="26"/>
      <c r="I96" s="26"/>
      <c r="J96" s="42">
        <v>35</v>
      </c>
      <c r="K96" s="42">
        <v>0</v>
      </c>
      <c r="L96" s="42">
        <v>0</v>
      </c>
      <c r="M96" s="42">
        <v>0</v>
      </c>
      <c r="N96" s="37">
        <v>35</v>
      </c>
      <c r="O96" s="37"/>
      <c r="P96" s="37"/>
      <c r="Q96" s="37"/>
      <c r="R96" s="42">
        <v>63</v>
      </c>
      <c r="S96" s="44">
        <f t="shared" si="39"/>
        <v>0</v>
      </c>
      <c r="T96" s="33">
        <f>+(G96+H96)</f>
        <v>0</v>
      </c>
      <c r="U96" s="33">
        <f t="shared" si="42"/>
        <v>0</v>
      </c>
    </row>
    <row r="97" spans="1:21" s="3" customFormat="1" ht="17.25" x14ac:dyDescent="0.25">
      <c r="A97" s="22">
        <f t="shared" si="47"/>
        <v>13</v>
      </c>
      <c r="B97" s="23" t="s">
        <v>116</v>
      </c>
      <c r="C97" s="24">
        <f t="shared" ref="C97:C98" si="51">SUM(D97:E97)</f>
        <v>523</v>
      </c>
      <c r="D97" s="25">
        <f t="shared" si="45"/>
        <v>523</v>
      </c>
      <c r="E97" s="25">
        <f>SUM(I97,K97,M97)</f>
        <v>0</v>
      </c>
      <c r="F97" s="26">
        <v>85</v>
      </c>
      <c r="G97" s="26">
        <v>1</v>
      </c>
      <c r="H97" s="26">
        <v>2</v>
      </c>
      <c r="I97" s="26"/>
      <c r="J97" s="42">
        <v>438</v>
      </c>
      <c r="K97" s="42">
        <v>0</v>
      </c>
      <c r="L97" s="42">
        <v>0</v>
      </c>
      <c r="M97" s="42">
        <v>0</v>
      </c>
      <c r="N97" s="37"/>
      <c r="O97" s="37"/>
      <c r="P97" s="37"/>
      <c r="Q97" s="37"/>
      <c r="R97" s="42">
        <f>+C97-(C97*0.1)</f>
        <v>470.7</v>
      </c>
      <c r="S97" s="44">
        <f t="shared" si="39"/>
        <v>-52.300000000000011</v>
      </c>
      <c r="T97" s="33">
        <f t="shared" ref="T97:T108" si="52">+(G97+H97)</f>
        <v>3</v>
      </c>
      <c r="U97" s="33">
        <f t="shared" si="42"/>
        <v>1.9500000000000002</v>
      </c>
    </row>
    <row r="98" spans="1:21" s="4" customFormat="1" ht="31.5" x14ac:dyDescent="0.25">
      <c r="A98" s="22">
        <f t="shared" si="47"/>
        <v>14</v>
      </c>
      <c r="B98" s="27" t="s">
        <v>87</v>
      </c>
      <c r="C98" s="28">
        <f t="shared" si="51"/>
        <v>0</v>
      </c>
      <c r="D98" s="29">
        <f t="shared" si="45"/>
        <v>0</v>
      </c>
      <c r="E98" s="29">
        <f>SUM(I98,K98,M98)</f>
        <v>0</v>
      </c>
      <c r="F98" s="30"/>
      <c r="G98" s="30"/>
      <c r="H98" s="30"/>
      <c r="I98" s="30"/>
      <c r="J98" s="43"/>
      <c r="K98" s="43"/>
      <c r="L98" s="43"/>
      <c r="M98" s="43"/>
      <c r="N98" s="39"/>
      <c r="O98" s="39"/>
      <c r="P98" s="39"/>
      <c r="Q98" s="39"/>
      <c r="R98" s="43"/>
      <c r="S98" s="49"/>
      <c r="T98" s="33">
        <f t="shared" si="52"/>
        <v>0</v>
      </c>
      <c r="U98" s="33">
        <f t="shared" si="42"/>
        <v>0</v>
      </c>
    </row>
    <row r="99" spans="1:21" s="3" customFormat="1" ht="31.5" x14ac:dyDescent="0.25">
      <c r="A99" s="22">
        <f t="shared" si="47"/>
        <v>15</v>
      </c>
      <c r="B99" s="23" t="s">
        <v>88</v>
      </c>
      <c r="C99" s="24">
        <f t="shared" ref="C99:C100" si="53">SUM(D99:E99)</f>
        <v>31</v>
      </c>
      <c r="D99" s="25">
        <f t="shared" si="45"/>
        <v>31</v>
      </c>
      <c r="E99" s="25">
        <f t="shared" si="46"/>
        <v>0</v>
      </c>
      <c r="F99" s="26">
        <v>31</v>
      </c>
      <c r="G99" s="26">
        <v>1</v>
      </c>
      <c r="H99" s="26">
        <v>1</v>
      </c>
      <c r="I99" s="26"/>
      <c r="J99" s="42">
        <v>0</v>
      </c>
      <c r="K99" s="42">
        <v>0</v>
      </c>
      <c r="L99" s="42">
        <v>0</v>
      </c>
      <c r="M99" s="42">
        <v>0</v>
      </c>
      <c r="N99" s="37"/>
      <c r="O99" s="37"/>
      <c r="P99" s="37"/>
      <c r="Q99" s="37"/>
      <c r="R99" s="42">
        <v>31</v>
      </c>
      <c r="S99" s="44">
        <f t="shared" si="39"/>
        <v>0</v>
      </c>
      <c r="T99" s="33">
        <f t="shared" si="52"/>
        <v>2</v>
      </c>
      <c r="U99" s="33">
        <f t="shared" si="42"/>
        <v>1.3</v>
      </c>
    </row>
    <row r="100" spans="1:21" s="3" customFormat="1" ht="17.25" x14ac:dyDescent="0.25">
      <c r="A100" s="22">
        <f t="shared" si="47"/>
        <v>16</v>
      </c>
      <c r="B100" s="23" t="s">
        <v>89</v>
      </c>
      <c r="C100" s="24">
        <f t="shared" si="53"/>
        <v>1784</v>
      </c>
      <c r="D100" s="25">
        <f t="shared" si="45"/>
        <v>46</v>
      </c>
      <c r="E100" s="25">
        <f t="shared" si="46"/>
        <v>1738</v>
      </c>
      <c r="F100" s="26">
        <v>18</v>
      </c>
      <c r="G100" s="26">
        <v>1</v>
      </c>
      <c r="H100" s="26">
        <v>2</v>
      </c>
      <c r="I100" s="26">
        <v>262</v>
      </c>
      <c r="J100" s="42">
        <v>28</v>
      </c>
      <c r="K100" s="42">
        <v>1476</v>
      </c>
      <c r="L100" s="42">
        <v>0</v>
      </c>
      <c r="M100" s="42">
        <v>0</v>
      </c>
      <c r="N100" s="37">
        <v>28</v>
      </c>
      <c r="O100" s="37">
        <v>1476</v>
      </c>
      <c r="P100" s="37"/>
      <c r="Q100" s="37"/>
      <c r="R100" s="42">
        <f>+C100-(C100*0.15)</f>
        <v>1516.4</v>
      </c>
      <c r="S100" s="44">
        <f t="shared" si="39"/>
        <v>-267.59999999999991</v>
      </c>
      <c r="T100" s="33">
        <f t="shared" si="52"/>
        <v>3</v>
      </c>
      <c r="U100" s="33">
        <f t="shared" si="42"/>
        <v>1.9500000000000002</v>
      </c>
    </row>
    <row r="101" spans="1:21" s="3" customFormat="1" ht="17.25" x14ac:dyDescent="0.25">
      <c r="A101" s="22">
        <f t="shared" si="47"/>
        <v>17</v>
      </c>
      <c r="B101" s="23" t="s">
        <v>90</v>
      </c>
      <c r="C101" s="24">
        <f t="shared" ref="C101:C106" si="54">SUM(D101:E101)</f>
        <v>158</v>
      </c>
      <c r="D101" s="25">
        <f t="shared" si="45"/>
        <v>158</v>
      </c>
      <c r="E101" s="25">
        <f t="shared" si="46"/>
        <v>0</v>
      </c>
      <c r="F101" s="26">
        <v>107</v>
      </c>
      <c r="G101" s="26">
        <v>1</v>
      </c>
      <c r="H101" s="26">
        <v>1</v>
      </c>
      <c r="I101" s="26"/>
      <c r="J101" s="42">
        <v>51</v>
      </c>
      <c r="K101" s="42">
        <v>0</v>
      </c>
      <c r="L101" s="42">
        <v>0</v>
      </c>
      <c r="M101" s="42">
        <v>0</v>
      </c>
      <c r="N101" s="37">
        <v>51</v>
      </c>
      <c r="O101" s="37"/>
      <c r="P101" s="37"/>
      <c r="Q101" s="37"/>
      <c r="R101" s="42">
        <f>+C101-(C101*0.1)</f>
        <v>142.19999999999999</v>
      </c>
      <c r="S101" s="44">
        <f t="shared" si="39"/>
        <v>-15.800000000000011</v>
      </c>
      <c r="T101" s="33">
        <f t="shared" si="52"/>
        <v>2</v>
      </c>
      <c r="U101" s="33">
        <f t="shared" si="42"/>
        <v>1.3</v>
      </c>
    </row>
    <row r="102" spans="1:21" s="3" customFormat="1" ht="20.25" customHeight="1" x14ac:dyDescent="0.25">
      <c r="A102" s="22">
        <f t="shared" si="47"/>
        <v>18</v>
      </c>
      <c r="B102" s="23" t="s">
        <v>91</v>
      </c>
      <c r="C102" s="24">
        <f t="shared" si="54"/>
        <v>55</v>
      </c>
      <c r="D102" s="25">
        <f t="shared" si="45"/>
        <v>38</v>
      </c>
      <c r="E102" s="25">
        <f t="shared" si="46"/>
        <v>17</v>
      </c>
      <c r="F102" s="26">
        <v>38</v>
      </c>
      <c r="G102" s="26">
        <v>1</v>
      </c>
      <c r="H102" s="26">
        <v>1</v>
      </c>
      <c r="I102" s="26">
        <v>17</v>
      </c>
      <c r="J102" s="42">
        <v>0</v>
      </c>
      <c r="K102" s="42">
        <v>0</v>
      </c>
      <c r="L102" s="42">
        <v>0</v>
      </c>
      <c r="M102" s="42">
        <v>0</v>
      </c>
      <c r="N102" s="37"/>
      <c r="O102" s="37"/>
      <c r="P102" s="37"/>
      <c r="Q102" s="37"/>
      <c r="R102" s="42">
        <v>55</v>
      </c>
      <c r="S102" s="44">
        <f t="shared" si="39"/>
        <v>0</v>
      </c>
      <c r="T102" s="33">
        <f t="shared" si="52"/>
        <v>2</v>
      </c>
      <c r="U102" s="33">
        <f t="shared" si="42"/>
        <v>1.3</v>
      </c>
    </row>
    <row r="103" spans="1:21" s="3" customFormat="1" ht="17.25" x14ac:dyDescent="0.25">
      <c r="A103" s="22">
        <f t="shared" si="47"/>
        <v>19</v>
      </c>
      <c r="B103" s="23" t="s">
        <v>94</v>
      </c>
      <c r="C103" s="24">
        <f t="shared" si="54"/>
        <v>16</v>
      </c>
      <c r="D103" s="25">
        <f t="shared" si="45"/>
        <v>7</v>
      </c>
      <c r="E103" s="25">
        <f t="shared" si="46"/>
        <v>9</v>
      </c>
      <c r="F103" s="26">
        <v>7</v>
      </c>
      <c r="G103" s="26"/>
      <c r="H103" s="26">
        <v>1</v>
      </c>
      <c r="I103" s="26">
        <v>9</v>
      </c>
      <c r="J103" s="42">
        <v>0</v>
      </c>
      <c r="K103" s="42">
        <v>0</v>
      </c>
      <c r="L103" s="42">
        <v>0</v>
      </c>
      <c r="M103" s="42">
        <v>0</v>
      </c>
      <c r="N103" s="37"/>
      <c r="O103" s="37"/>
      <c r="P103" s="37"/>
      <c r="Q103" s="37"/>
      <c r="R103" s="42">
        <v>16</v>
      </c>
      <c r="S103" s="44">
        <f t="shared" si="39"/>
        <v>0</v>
      </c>
      <c r="T103" s="33">
        <f t="shared" si="52"/>
        <v>1</v>
      </c>
      <c r="U103" s="33">
        <f t="shared" si="42"/>
        <v>0.65</v>
      </c>
    </row>
    <row r="104" spans="1:21" s="3" customFormat="1" ht="31.5" x14ac:dyDescent="0.25">
      <c r="A104" s="22">
        <f t="shared" si="47"/>
        <v>20</v>
      </c>
      <c r="B104" s="23" t="s">
        <v>92</v>
      </c>
      <c r="C104" s="24">
        <f t="shared" si="54"/>
        <v>18</v>
      </c>
      <c r="D104" s="25">
        <f t="shared" si="45"/>
        <v>18</v>
      </c>
      <c r="E104" s="25">
        <f t="shared" si="46"/>
        <v>0</v>
      </c>
      <c r="F104" s="26">
        <v>18</v>
      </c>
      <c r="G104" s="26"/>
      <c r="H104" s="26"/>
      <c r="I104" s="26"/>
      <c r="J104" s="42">
        <v>0</v>
      </c>
      <c r="K104" s="42">
        <v>0</v>
      </c>
      <c r="L104" s="42">
        <v>0</v>
      </c>
      <c r="M104" s="42">
        <v>0</v>
      </c>
      <c r="N104" s="37"/>
      <c r="O104" s="37"/>
      <c r="P104" s="37"/>
      <c r="Q104" s="37"/>
      <c r="R104" s="42">
        <v>18</v>
      </c>
      <c r="S104" s="44">
        <f t="shared" si="39"/>
        <v>0</v>
      </c>
      <c r="T104" s="33">
        <f t="shared" si="52"/>
        <v>0</v>
      </c>
      <c r="U104" s="33">
        <f t="shared" si="42"/>
        <v>0</v>
      </c>
    </row>
    <row r="105" spans="1:21" s="3" customFormat="1" ht="18" customHeight="1" x14ac:dyDescent="0.25">
      <c r="A105" s="22">
        <f t="shared" si="47"/>
        <v>21</v>
      </c>
      <c r="B105" s="31" t="s">
        <v>96</v>
      </c>
      <c r="C105" s="24">
        <f t="shared" si="54"/>
        <v>3198</v>
      </c>
      <c r="D105" s="25">
        <f t="shared" si="45"/>
        <v>1078</v>
      </c>
      <c r="E105" s="25">
        <f t="shared" si="46"/>
        <v>2120</v>
      </c>
      <c r="F105" s="26">
        <v>48</v>
      </c>
      <c r="G105" s="26">
        <v>1</v>
      </c>
      <c r="H105" s="26">
        <v>1</v>
      </c>
      <c r="I105" s="26">
        <v>6</v>
      </c>
      <c r="J105" s="42">
        <v>208</v>
      </c>
      <c r="K105" s="42">
        <v>87</v>
      </c>
      <c r="L105" s="42">
        <v>822</v>
      </c>
      <c r="M105" s="42">
        <v>2027</v>
      </c>
      <c r="N105" s="37">
        <v>208</v>
      </c>
      <c r="O105" s="37">
        <v>87</v>
      </c>
      <c r="P105" s="37">
        <v>822</v>
      </c>
      <c r="Q105" s="37">
        <v>2027</v>
      </c>
      <c r="R105" s="42">
        <f>+C105-(C105*0.15)</f>
        <v>2718.3</v>
      </c>
      <c r="S105" s="44">
        <f t="shared" si="39"/>
        <v>-479.69999999999982</v>
      </c>
      <c r="T105" s="33">
        <f t="shared" si="52"/>
        <v>2</v>
      </c>
      <c r="U105" s="33">
        <f t="shared" si="42"/>
        <v>1.3</v>
      </c>
    </row>
    <row r="106" spans="1:21" s="3" customFormat="1" ht="31.5" x14ac:dyDescent="0.25">
      <c r="A106" s="22">
        <f t="shared" si="47"/>
        <v>22</v>
      </c>
      <c r="B106" s="23" t="s">
        <v>97</v>
      </c>
      <c r="C106" s="24">
        <f t="shared" si="54"/>
        <v>110</v>
      </c>
      <c r="D106" s="25">
        <f t="shared" si="45"/>
        <v>62</v>
      </c>
      <c r="E106" s="25">
        <f t="shared" si="46"/>
        <v>48</v>
      </c>
      <c r="F106" s="26">
        <v>27</v>
      </c>
      <c r="G106" s="26"/>
      <c r="H106" s="26">
        <v>1</v>
      </c>
      <c r="I106" s="26">
        <v>20</v>
      </c>
      <c r="J106" s="42">
        <v>35</v>
      </c>
      <c r="K106" s="42">
        <v>28</v>
      </c>
      <c r="L106" s="42">
        <v>0</v>
      </c>
      <c r="M106" s="42">
        <v>0</v>
      </c>
      <c r="N106" s="37">
        <v>35</v>
      </c>
      <c r="O106" s="37">
        <v>28</v>
      </c>
      <c r="P106" s="37">
        <v>0</v>
      </c>
      <c r="Q106" s="37">
        <v>0</v>
      </c>
      <c r="R106" s="42">
        <v>110</v>
      </c>
      <c r="S106" s="44">
        <f t="shared" si="39"/>
        <v>0</v>
      </c>
      <c r="T106" s="33">
        <f t="shared" si="52"/>
        <v>1</v>
      </c>
      <c r="U106" s="33">
        <f t="shared" si="42"/>
        <v>0.65</v>
      </c>
    </row>
    <row r="107" spans="1:21" s="3" customFormat="1" ht="31.5" x14ac:dyDescent="0.25">
      <c r="A107" s="22">
        <f t="shared" si="47"/>
        <v>23</v>
      </c>
      <c r="B107" s="31" t="s">
        <v>93</v>
      </c>
      <c r="C107" s="24">
        <f t="shared" ref="C107:C108" si="55">SUM(D107:E107)</f>
        <v>114</v>
      </c>
      <c r="D107" s="25">
        <f t="shared" si="45"/>
        <v>114</v>
      </c>
      <c r="E107" s="25">
        <f t="shared" si="46"/>
        <v>0</v>
      </c>
      <c r="F107" s="26">
        <f>91+23</f>
        <v>114</v>
      </c>
      <c r="G107" s="26">
        <v>1</v>
      </c>
      <c r="H107" s="26">
        <v>2</v>
      </c>
      <c r="I107" s="32"/>
      <c r="J107" s="42">
        <v>0</v>
      </c>
      <c r="K107" s="42">
        <v>0</v>
      </c>
      <c r="L107" s="42">
        <v>0</v>
      </c>
      <c r="M107" s="42">
        <v>0</v>
      </c>
      <c r="N107" s="37"/>
      <c r="O107" s="37"/>
      <c r="P107" s="37"/>
      <c r="Q107" s="37"/>
      <c r="R107" s="42">
        <v>114</v>
      </c>
      <c r="S107" s="44">
        <f t="shared" si="39"/>
        <v>0</v>
      </c>
      <c r="T107" s="33">
        <f t="shared" si="52"/>
        <v>3</v>
      </c>
      <c r="U107" s="33">
        <f t="shared" si="42"/>
        <v>1.9500000000000002</v>
      </c>
    </row>
    <row r="108" spans="1:21" s="3" customFormat="1" ht="31.5" x14ac:dyDescent="0.25">
      <c r="A108" s="22">
        <f t="shared" si="47"/>
        <v>24</v>
      </c>
      <c r="B108" s="23" t="s">
        <v>95</v>
      </c>
      <c r="C108" s="24">
        <f t="shared" si="55"/>
        <v>55</v>
      </c>
      <c r="D108" s="25">
        <f t="shared" si="45"/>
        <v>24</v>
      </c>
      <c r="E108" s="25">
        <f t="shared" si="46"/>
        <v>31</v>
      </c>
      <c r="F108" s="26">
        <v>24</v>
      </c>
      <c r="G108" s="26"/>
      <c r="H108" s="26">
        <v>1</v>
      </c>
      <c r="I108" s="26">
        <v>31</v>
      </c>
      <c r="J108" s="42">
        <v>0</v>
      </c>
      <c r="K108" s="42">
        <v>0</v>
      </c>
      <c r="L108" s="42">
        <v>0</v>
      </c>
      <c r="M108" s="42">
        <v>0</v>
      </c>
      <c r="N108" s="37"/>
      <c r="O108" s="37"/>
      <c r="P108" s="37"/>
      <c r="Q108" s="37"/>
      <c r="R108" s="42">
        <v>55</v>
      </c>
      <c r="S108" s="44">
        <f t="shared" si="39"/>
        <v>0</v>
      </c>
      <c r="T108" s="33">
        <f t="shared" si="52"/>
        <v>1</v>
      </c>
      <c r="U108" s="33">
        <f t="shared" si="42"/>
        <v>0.65</v>
      </c>
    </row>
  </sheetData>
  <mergeCells count="30">
    <mergeCell ref="A84:B84"/>
    <mergeCell ref="F6:F7"/>
    <mergeCell ref="G6:H6"/>
    <mergeCell ref="I6:I7"/>
    <mergeCell ref="A54:B54"/>
    <mergeCell ref="D6:D7"/>
    <mergeCell ref="E6:E7"/>
    <mergeCell ref="A36:B36"/>
    <mergeCell ref="A47:B47"/>
    <mergeCell ref="B4:B7"/>
    <mergeCell ref="C4:C7"/>
    <mergeCell ref="D4:E5"/>
    <mergeCell ref="F4:I5"/>
    <mergeCell ref="A35:B35"/>
    <mergeCell ref="J4:M4"/>
    <mergeCell ref="B3:D3"/>
    <mergeCell ref="L5:M5"/>
    <mergeCell ref="A2:S2"/>
    <mergeCell ref="A9:B9"/>
    <mergeCell ref="N4:Q4"/>
    <mergeCell ref="R4:R7"/>
    <mergeCell ref="S4:S7"/>
    <mergeCell ref="J5:K5"/>
    <mergeCell ref="N5:O5"/>
    <mergeCell ref="P5:Q5"/>
    <mergeCell ref="M6:M7"/>
    <mergeCell ref="J6:J7"/>
    <mergeCell ref="K6:K7"/>
    <mergeCell ref="L6:L7"/>
    <mergeCell ref="A4:A7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61" orientation="landscape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10"/>
  <sheetViews>
    <sheetView view="pageBreakPreview" topLeftCell="A56" zoomScale="115" zoomScaleNormal="100" zoomScaleSheetLayoutView="115" zoomScalePageLayoutView="85" workbookViewId="0">
      <selection activeCell="M68" sqref="M68"/>
    </sheetView>
  </sheetViews>
  <sheetFormatPr defaultRowHeight="16.5" x14ac:dyDescent="0.25"/>
  <cols>
    <col min="1" max="1" width="4.42578125" style="5" bestFit="1" customWidth="1"/>
    <col min="2" max="2" width="74.140625" style="5" customWidth="1"/>
    <col min="3" max="3" width="12.85546875" style="5" customWidth="1"/>
    <col min="4" max="4" width="11.7109375" style="5" customWidth="1"/>
    <col min="5" max="5" width="10.42578125" style="5" customWidth="1"/>
    <col min="6" max="6" width="11.85546875" style="5" customWidth="1"/>
    <col min="7" max="7" width="12.85546875" style="5" customWidth="1"/>
    <col min="8" max="8" width="12.28515625" style="5" customWidth="1"/>
    <col min="9" max="9" width="10.42578125" style="5" bestFit="1" customWidth="1"/>
    <col min="10" max="10" width="11.7109375" style="5" customWidth="1"/>
    <col min="11" max="11" width="9.5703125" style="5" customWidth="1"/>
    <col min="12" max="12" width="11.85546875" style="5" customWidth="1"/>
    <col min="13" max="13" width="10.42578125" style="5" bestFit="1" customWidth="1"/>
    <col min="14" max="14" width="14" style="5" hidden="1" customWidth="1"/>
    <col min="15" max="15" width="15.140625" style="5" hidden="1" customWidth="1"/>
    <col min="16" max="16" width="14" style="5" hidden="1" customWidth="1"/>
    <col min="17" max="17" width="15.140625" style="5" hidden="1" customWidth="1"/>
    <col min="18" max="18" width="13.140625" style="5" customWidth="1"/>
    <col min="19" max="19" width="9.5703125" style="5" customWidth="1"/>
    <col min="20" max="16384" width="9.140625" style="5"/>
  </cols>
  <sheetData>
    <row r="1" spans="1:94" ht="12.75" customHeight="1" x14ac:dyDescent="0.25"/>
    <row r="2" spans="1:94" ht="33" customHeight="1" x14ac:dyDescent="0.25">
      <c r="A2" s="155" t="s">
        <v>117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94" x14ac:dyDescent="0.25">
      <c r="B3" s="153" t="s">
        <v>108</v>
      </c>
      <c r="C3" s="154"/>
      <c r="D3" s="154"/>
    </row>
    <row r="4" spans="1:94" s="13" customFormat="1" ht="20.25" customHeight="1" x14ac:dyDescent="0.25">
      <c r="A4" s="152" t="s">
        <v>0</v>
      </c>
      <c r="B4" s="151" t="s">
        <v>1</v>
      </c>
      <c r="C4" s="151" t="s">
        <v>112</v>
      </c>
      <c r="D4" s="151" t="s">
        <v>5</v>
      </c>
      <c r="E4" s="151"/>
      <c r="F4" s="152" t="s">
        <v>2</v>
      </c>
      <c r="G4" s="152"/>
      <c r="H4" s="152"/>
      <c r="I4" s="152"/>
      <c r="J4" s="151" t="s">
        <v>111</v>
      </c>
      <c r="K4" s="151"/>
      <c r="L4" s="151"/>
      <c r="M4" s="151"/>
      <c r="N4" s="150" t="s">
        <v>14</v>
      </c>
      <c r="O4" s="150"/>
      <c r="P4" s="150"/>
      <c r="Q4" s="150"/>
      <c r="R4" s="149" t="s">
        <v>119</v>
      </c>
      <c r="S4" s="149" t="s">
        <v>120</v>
      </c>
    </row>
    <row r="5" spans="1:94" s="13" customFormat="1" ht="31.5" customHeight="1" x14ac:dyDescent="0.25">
      <c r="A5" s="152"/>
      <c r="B5" s="151"/>
      <c r="C5" s="151"/>
      <c r="D5" s="151"/>
      <c r="E5" s="151"/>
      <c r="F5" s="152"/>
      <c r="G5" s="152"/>
      <c r="H5" s="152"/>
      <c r="I5" s="152"/>
      <c r="J5" s="151" t="s">
        <v>121</v>
      </c>
      <c r="K5" s="151"/>
      <c r="L5" s="151" t="s">
        <v>3</v>
      </c>
      <c r="M5" s="151"/>
      <c r="N5" s="150" t="s">
        <v>107</v>
      </c>
      <c r="O5" s="150"/>
      <c r="P5" s="150" t="s">
        <v>3</v>
      </c>
      <c r="Q5" s="150"/>
      <c r="R5" s="149"/>
      <c r="S5" s="149"/>
    </row>
    <row r="6" spans="1:94" s="13" customFormat="1" ht="17.25" customHeight="1" x14ac:dyDescent="0.25">
      <c r="A6" s="152"/>
      <c r="B6" s="151"/>
      <c r="C6" s="151"/>
      <c r="D6" s="157" t="s">
        <v>109</v>
      </c>
      <c r="E6" s="157" t="s">
        <v>122</v>
      </c>
      <c r="F6" s="157" t="s">
        <v>109</v>
      </c>
      <c r="G6" s="158" t="s">
        <v>114</v>
      </c>
      <c r="H6" s="158"/>
      <c r="I6" s="157" t="s">
        <v>122</v>
      </c>
      <c r="J6" s="157" t="s">
        <v>109</v>
      </c>
      <c r="K6" s="157" t="s">
        <v>122</v>
      </c>
      <c r="L6" s="157" t="s">
        <v>109</v>
      </c>
      <c r="M6" s="157" t="s">
        <v>122</v>
      </c>
      <c r="N6" s="50"/>
      <c r="O6" s="50"/>
      <c r="P6" s="50"/>
      <c r="Q6" s="50"/>
      <c r="R6" s="149"/>
      <c r="S6" s="149"/>
    </row>
    <row r="7" spans="1:94" s="14" customFormat="1" ht="62.25" customHeight="1" x14ac:dyDescent="0.25">
      <c r="A7" s="152"/>
      <c r="B7" s="151"/>
      <c r="C7" s="151"/>
      <c r="D7" s="157"/>
      <c r="E7" s="157"/>
      <c r="F7" s="157"/>
      <c r="G7" s="51" t="s">
        <v>115</v>
      </c>
      <c r="H7" s="51" t="s">
        <v>113</v>
      </c>
      <c r="I7" s="157"/>
      <c r="J7" s="157"/>
      <c r="K7" s="157"/>
      <c r="L7" s="157"/>
      <c r="M7" s="157"/>
      <c r="N7" s="36" t="s">
        <v>109</v>
      </c>
      <c r="O7" s="36" t="s">
        <v>16</v>
      </c>
      <c r="P7" s="36" t="s">
        <v>109</v>
      </c>
      <c r="Q7" s="36" t="s">
        <v>17</v>
      </c>
      <c r="R7" s="149"/>
      <c r="S7" s="149"/>
    </row>
    <row r="8" spans="1:94" s="12" customFormat="1" ht="17.25" x14ac:dyDescent="0.25">
      <c r="A8" s="16"/>
      <c r="B8" s="17" t="s">
        <v>5</v>
      </c>
      <c r="C8" s="18">
        <f t="shared" ref="C8:S8" si="0">+C9+C38+C57+C86</f>
        <v>107189.75</v>
      </c>
      <c r="D8" s="18">
        <f t="shared" si="0"/>
        <v>83684.5</v>
      </c>
      <c r="E8" s="18">
        <f t="shared" si="0"/>
        <v>23505.25</v>
      </c>
      <c r="F8" s="18">
        <f t="shared" si="0"/>
        <v>8060</v>
      </c>
      <c r="G8" s="18">
        <f t="shared" si="0"/>
        <v>64</v>
      </c>
      <c r="H8" s="18">
        <f t="shared" si="0"/>
        <v>159</v>
      </c>
      <c r="I8" s="18">
        <f t="shared" si="0"/>
        <v>800</v>
      </c>
      <c r="J8" s="18">
        <f t="shared" si="0"/>
        <v>16094</v>
      </c>
      <c r="K8" s="18">
        <f t="shared" si="0"/>
        <v>4317</v>
      </c>
      <c r="L8" s="18">
        <f t="shared" si="0"/>
        <v>59530.5</v>
      </c>
      <c r="M8" s="18">
        <f t="shared" si="0"/>
        <v>18388.25</v>
      </c>
      <c r="N8" s="11">
        <f t="shared" si="0"/>
        <v>15519</v>
      </c>
      <c r="O8" s="11">
        <f t="shared" si="0"/>
        <v>4312</v>
      </c>
      <c r="P8" s="11">
        <f t="shared" si="0"/>
        <v>30969.5</v>
      </c>
      <c r="Q8" s="11">
        <f t="shared" si="0"/>
        <v>18388.25</v>
      </c>
      <c r="R8" s="18">
        <f t="shared" si="0"/>
        <v>96664.6875</v>
      </c>
      <c r="S8" s="45">
        <f t="shared" si="0"/>
        <v>-10525.0625</v>
      </c>
    </row>
    <row r="9" spans="1:94" s="2" customFormat="1" ht="17.25" x14ac:dyDescent="0.25">
      <c r="A9" s="156" t="s">
        <v>103</v>
      </c>
      <c r="B9" s="156"/>
      <c r="C9" s="19">
        <f t="shared" ref="C9:S9" si="1">SUM(C10:C37)</f>
        <v>42635.25</v>
      </c>
      <c r="D9" s="19">
        <f t="shared" si="1"/>
        <v>28543.5</v>
      </c>
      <c r="E9" s="19">
        <f t="shared" si="1"/>
        <v>14091.75</v>
      </c>
      <c r="F9" s="19">
        <f t="shared" si="1"/>
        <v>3783</v>
      </c>
      <c r="G9" s="19">
        <f t="shared" si="1"/>
        <v>23</v>
      </c>
      <c r="H9" s="19">
        <f t="shared" si="1"/>
        <v>72</v>
      </c>
      <c r="I9" s="19">
        <f t="shared" si="1"/>
        <v>108</v>
      </c>
      <c r="J9" s="19">
        <f t="shared" si="1"/>
        <v>7697</v>
      </c>
      <c r="K9" s="19">
        <f t="shared" si="1"/>
        <v>1893</v>
      </c>
      <c r="L9" s="19">
        <f t="shared" si="1"/>
        <v>17063.5</v>
      </c>
      <c r="M9" s="19">
        <f t="shared" si="1"/>
        <v>12090.75</v>
      </c>
      <c r="N9" s="9">
        <f t="shared" si="1"/>
        <v>7405</v>
      </c>
      <c r="O9" s="9">
        <f t="shared" si="1"/>
        <v>1893</v>
      </c>
      <c r="P9" s="9">
        <f t="shared" si="1"/>
        <v>16289.5</v>
      </c>
      <c r="Q9" s="9">
        <f t="shared" si="1"/>
        <v>12090.75</v>
      </c>
      <c r="R9" s="19">
        <f t="shared" si="1"/>
        <v>36842.012500000004</v>
      </c>
      <c r="S9" s="46">
        <f t="shared" si="1"/>
        <v>-5793.2375000000002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s="3" customFormat="1" ht="17.25" x14ac:dyDescent="0.25">
      <c r="A10" s="22">
        <v>1</v>
      </c>
      <c r="B10" s="23" t="s">
        <v>26</v>
      </c>
      <c r="C10" s="24">
        <f t="shared" ref="C10" si="2">SUM(D10:E10)</f>
        <v>1376</v>
      </c>
      <c r="D10" s="25">
        <f t="shared" ref="D10:D12" si="3">SUM(F10,J10,L10)</f>
        <v>1376</v>
      </c>
      <c r="E10" s="25">
        <f t="shared" ref="E10:E12" si="4">SUM(I10,K10,M10)</f>
        <v>0</v>
      </c>
      <c r="F10" s="26">
        <v>310</v>
      </c>
      <c r="G10" s="26">
        <v>2</v>
      </c>
      <c r="H10" s="26">
        <v>6</v>
      </c>
      <c r="I10" s="26"/>
      <c r="J10" s="42">
        <v>292</v>
      </c>
      <c r="K10" s="42">
        <v>0</v>
      </c>
      <c r="L10" s="42">
        <v>774</v>
      </c>
      <c r="M10" s="42">
        <v>0</v>
      </c>
      <c r="N10" s="37">
        <v>605</v>
      </c>
      <c r="O10" s="37"/>
      <c r="P10" s="37">
        <v>973</v>
      </c>
      <c r="Q10" s="37"/>
      <c r="R10" s="42">
        <f>+C10-(C10*0.15)</f>
        <v>1169.5999999999999</v>
      </c>
      <c r="S10" s="44">
        <f>+R10-C10</f>
        <v>-206.40000000000009</v>
      </c>
      <c r="T10" s="33">
        <f>+(G10+H10)</f>
        <v>8</v>
      </c>
      <c r="U10" s="33">
        <f>+T10-(T10*0.35)</f>
        <v>5.2</v>
      </c>
    </row>
    <row r="11" spans="1:94" s="3" customFormat="1" ht="17.25" x14ac:dyDescent="0.25">
      <c r="A11" s="22"/>
      <c r="B11" s="52" t="s">
        <v>123</v>
      </c>
      <c r="C11" s="24"/>
      <c r="D11" s="25"/>
      <c r="E11" s="25"/>
      <c r="F11" s="26"/>
      <c r="G11" s="26"/>
      <c r="H11" s="26"/>
      <c r="I11" s="26"/>
      <c r="J11" s="42"/>
      <c r="K11" s="42"/>
      <c r="L11" s="42"/>
      <c r="M11" s="42"/>
      <c r="N11" s="37"/>
      <c r="O11" s="37"/>
      <c r="P11" s="37"/>
      <c r="Q11" s="37"/>
      <c r="R11" s="42"/>
      <c r="S11" s="44"/>
      <c r="T11" s="33"/>
      <c r="U11" s="33"/>
    </row>
    <row r="12" spans="1:94" s="3" customFormat="1" ht="31.5" x14ac:dyDescent="0.25">
      <c r="A12" s="22">
        <f t="shared" ref="A12" si="5">+A10+1</f>
        <v>2</v>
      </c>
      <c r="B12" s="23" t="s">
        <v>59</v>
      </c>
      <c r="C12" s="24">
        <f t="shared" ref="C12" si="6">SUM(D12:E12)</f>
        <v>55</v>
      </c>
      <c r="D12" s="25">
        <f t="shared" si="3"/>
        <v>55</v>
      </c>
      <c r="E12" s="25">
        <f t="shared" si="4"/>
        <v>0</v>
      </c>
      <c r="F12" s="26">
        <v>55</v>
      </c>
      <c r="G12" s="26">
        <v>1</v>
      </c>
      <c r="H12" s="26">
        <v>2</v>
      </c>
      <c r="I12" s="26"/>
      <c r="J12" s="42">
        <v>0</v>
      </c>
      <c r="K12" s="42">
        <v>0</v>
      </c>
      <c r="L12" s="42">
        <v>0</v>
      </c>
      <c r="M12" s="42">
        <v>0</v>
      </c>
      <c r="N12" s="37"/>
      <c r="O12" s="37"/>
      <c r="P12" s="37"/>
      <c r="Q12" s="37"/>
      <c r="R12" s="42">
        <v>55</v>
      </c>
      <c r="S12" s="44">
        <f t="shared" ref="S12" si="7">+R12-C12</f>
        <v>0</v>
      </c>
      <c r="T12" s="33">
        <f t="shared" ref="T12" si="8">+(G12+H12)</f>
        <v>3</v>
      </c>
      <c r="U12" s="33">
        <f t="shared" ref="U12" si="9">+T12-(T12*0.35)</f>
        <v>1.9500000000000002</v>
      </c>
    </row>
    <row r="13" spans="1:94" s="3" customFormat="1" ht="17.25" x14ac:dyDescent="0.25">
      <c r="A13" s="22"/>
      <c r="B13" s="23"/>
      <c r="C13" s="24"/>
      <c r="D13" s="25"/>
      <c r="E13" s="25"/>
      <c r="F13" s="26"/>
      <c r="G13" s="26"/>
      <c r="H13" s="26"/>
      <c r="I13" s="26"/>
      <c r="J13" s="42"/>
      <c r="K13" s="42"/>
      <c r="L13" s="42"/>
      <c r="M13" s="42"/>
      <c r="N13" s="37"/>
      <c r="O13" s="37"/>
      <c r="P13" s="37"/>
      <c r="Q13" s="37"/>
      <c r="R13" s="42"/>
      <c r="S13" s="44"/>
      <c r="T13" s="33"/>
      <c r="U13" s="33"/>
    </row>
    <row r="14" spans="1:94" s="3" customFormat="1" ht="17.25" x14ac:dyDescent="0.25">
      <c r="A14" s="22">
        <f>+A10+1</f>
        <v>2</v>
      </c>
      <c r="B14" s="23" t="s">
        <v>18</v>
      </c>
      <c r="C14" s="24">
        <f t="shared" ref="C14:C37" si="10">SUM(D14:E14)</f>
        <v>1917</v>
      </c>
      <c r="D14" s="25">
        <f>SUM(F14,J14,L14)</f>
        <v>1917</v>
      </c>
      <c r="E14" s="25">
        <f>SUM(I14,K14,M14)</f>
        <v>0</v>
      </c>
      <c r="F14" s="26">
        <v>339</v>
      </c>
      <c r="G14" s="26">
        <v>2</v>
      </c>
      <c r="H14" s="26">
        <v>4</v>
      </c>
      <c r="I14" s="26"/>
      <c r="J14" s="42">
        <v>605</v>
      </c>
      <c r="K14" s="42">
        <v>0</v>
      </c>
      <c r="L14" s="42">
        <v>973</v>
      </c>
      <c r="M14" s="42">
        <v>0</v>
      </c>
      <c r="N14" s="37"/>
      <c r="O14" s="37"/>
      <c r="P14" s="37"/>
      <c r="Q14" s="37"/>
      <c r="R14" s="42">
        <f t="shared" ref="R14:R29" si="11">+C14-(C14*0.15)</f>
        <v>1629.45</v>
      </c>
      <c r="S14" s="44">
        <f t="shared" ref="S14:S77" si="12">+R14-C14</f>
        <v>-287.54999999999995</v>
      </c>
      <c r="T14" s="33">
        <f t="shared" ref="T14:T84" si="13">+(G14+H14)</f>
        <v>6</v>
      </c>
      <c r="U14" s="33">
        <f t="shared" ref="U14:U84" si="14">+T14-(T14*0.35)</f>
        <v>3.9000000000000004</v>
      </c>
    </row>
    <row r="15" spans="1:94" s="3" customFormat="1" ht="17.25" x14ac:dyDescent="0.25">
      <c r="A15" s="22">
        <f t="shared" ref="A15:A37" si="15">+A14+1</f>
        <v>3</v>
      </c>
      <c r="B15" s="23" t="s">
        <v>19</v>
      </c>
      <c r="C15" s="24">
        <f t="shared" si="10"/>
        <v>5480</v>
      </c>
      <c r="D15" s="25">
        <f t="shared" ref="D15:D37" si="16">SUM(F15,J15,L15)</f>
        <v>3609</v>
      </c>
      <c r="E15" s="25">
        <f t="shared" ref="E15:E35" si="17">SUM(I15,K15,M15)</f>
        <v>1871</v>
      </c>
      <c r="F15" s="26">
        <v>538</v>
      </c>
      <c r="G15" s="26">
        <v>1</v>
      </c>
      <c r="H15" s="26">
        <v>5</v>
      </c>
      <c r="I15" s="26">
        <v>96</v>
      </c>
      <c r="J15" s="42">
        <v>824</v>
      </c>
      <c r="K15" s="42">
        <v>247</v>
      </c>
      <c r="L15" s="42">
        <v>2247</v>
      </c>
      <c r="M15" s="42">
        <v>1528</v>
      </c>
      <c r="N15" s="37">
        <v>824</v>
      </c>
      <c r="O15" s="37">
        <v>247</v>
      </c>
      <c r="P15" s="37">
        <v>2247</v>
      </c>
      <c r="Q15" s="37">
        <v>1528</v>
      </c>
      <c r="R15" s="42">
        <f t="shared" si="11"/>
        <v>4658</v>
      </c>
      <c r="S15" s="44">
        <f t="shared" si="12"/>
        <v>-822</v>
      </c>
      <c r="T15" s="33">
        <f t="shared" si="13"/>
        <v>6</v>
      </c>
      <c r="U15" s="33">
        <f t="shared" si="14"/>
        <v>3.9000000000000004</v>
      </c>
    </row>
    <row r="16" spans="1:94" s="3" customFormat="1" ht="17.25" x14ac:dyDescent="0.25">
      <c r="A16" s="22">
        <f t="shared" si="15"/>
        <v>4</v>
      </c>
      <c r="B16" s="23" t="s">
        <v>25</v>
      </c>
      <c r="C16" s="24">
        <f t="shared" ref="C16:C27" si="18">SUM(D16:E16)</f>
        <v>819</v>
      </c>
      <c r="D16" s="25">
        <f t="shared" si="16"/>
        <v>480</v>
      </c>
      <c r="E16" s="25">
        <f t="shared" si="17"/>
        <v>339</v>
      </c>
      <c r="F16" s="26">
        <v>77</v>
      </c>
      <c r="G16" s="26">
        <v>1</v>
      </c>
      <c r="H16" s="26">
        <v>3</v>
      </c>
      <c r="I16" s="26"/>
      <c r="J16" s="42">
        <v>196</v>
      </c>
      <c r="K16" s="42">
        <v>0</v>
      </c>
      <c r="L16" s="42">
        <v>207</v>
      </c>
      <c r="M16" s="42">
        <v>339</v>
      </c>
      <c r="N16" s="38">
        <v>196</v>
      </c>
      <c r="O16" s="38"/>
      <c r="P16" s="38">
        <v>207</v>
      </c>
      <c r="Q16" s="38">
        <v>339</v>
      </c>
      <c r="R16" s="42">
        <f t="shared" si="11"/>
        <v>696.15</v>
      </c>
      <c r="S16" s="44">
        <f t="shared" si="12"/>
        <v>-122.85000000000002</v>
      </c>
      <c r="T16" s="33">
        <f t="shared" si="13"/>
        <v>4</v>
      </c>
      <c r="U16" s="33">
        <f t="shared" si="14"/>
        <v>2.6</v>
      </c>
    </row>
    <row r="17" spans="1:21" s="3" customFormat="1" ht="17.25" x14ac:dyDescent="0.25">
      <c r="A17" s="22">
        <f t="shared" si="15"/>
        <v>5</v>
      </c>
      <c r="B17" s="23" t="s">
        <v>32</v>
      </c>
      <c r="C17" s="24">
        <f t="shared" si="18"/>
        <v>918</v>
      </c>
      <c r="D17" s="25">
        <f t="shared" si="16"/>
        <v>918</v>
      </c>
      <c r="E17" s="25">
        <f t="shared" si="17"/>
        <v>0</v>
      </c>
      <c r="F17" s="26">
        <v>98</v>
      </c>
      <c r="G17" s="26">
        <v>1</v>
      </c>
      <c r="H17" s="26">
        <v>2</v>
      </c>
      <c r="I17" s="26"/>
      <c r="J17" s="42">
        <v>820</v>
      </c>
      <c r="K17" s="42">
        <v>0</v>
      </c>
      <c r="L17" s="42">
        <v>0</v>
      </c>
      <c r="M17" s="42">
        <v>0</v>
      </c>
      <c r="N17" s="37">
        <v>820</v>
      </c>
      <c r="O17" s="37"/>
      <c r="P17" s="37"/>
      <c r="Q17" s="37"/>
      <c r="R17" s="42">
        <f t="shared" si="11"/>
        <v>780.3</v>
      </c>
      <c r="S17" s="44">
        <f t="shared" si="12"/>
        <v>-137.70000000000005</v>
      </c>
      <c r="T17" s="33">
        <f t="shared" si="13"/>
        <v>3</v>
      </c>
      <c r="U17" s="33">
        <f t="shared" si="14"/>
        <v>1.9500000000000002</v>
      </c>
    </row>
    <row r="18" spans="1:21" s="3" customFormat="1" ht="17.25" x14ac:dyDescent="0.25">
      <c r="A18" s="22">
        <f t="shared" si="15"/>
        <v>6</v>
      </c>
      <c r="B18" s="23" t="s">
        <v>21</v>
      </c>
      <c r="C18" s="24">
        <f t="shared" si="18"/>
        <v>3042.25</v>
      </c>
      <c r="D18" s="25">
        <f t="shared" si="16"/>
        <v>1603</v>
      </c>
      <c r="E18" s="25">
        <f t="shared" si="17"/>
        <v>1439.25</v>
      </c>
      <c r="F18" s="26">
        <v>90</v>
      </c>
      <c r="G18" s="26">
        <v>1</v>
      </c>
      <c r="H18" s="26">
        <v>3</v>
      </c>
      <c r="I18" s="26">
        <v>12</v>
      </c>
      <c r="J18" s="42">
        <v>244</v>
      </c>
      <c r="K18" s="42">
        <v>86</v>
      </c>
      <c r="L18" s="42">
        <v>1269</v>
      </c>
      <c r="M18" s="42">
        <v>1341.25</v>
      </c>
      <c r="N18" s="38">
        <v>244</v>
      </c>
      <c r="O18" s="37">
        <v>86</v>
      </c>
      <c r="P18" s="37">
        <v>1269</v>
      </c>
      <c r="Q18" s="37">
        <v>1341.25</v>
      </c>
      <c r="R18" s="42">
        <f t="shared" si="11"/>
        <v>2585.9124999999999</v>
      </c>
      <c r="S18" s="44">
        <f t="shared" si="12"/>
        <v>-456.33750000000009</v>
      </c>
      <c r="T18" s="33">
        <f t="shared" si="13"/>
        <v>4</v>
      </c>
      <c r="U18" s="33">
        <f t="shared" si="14"/>
        <v>2.6</v>
      </c>
    </row>
    <row r="19" spans="1:21" s="3" customFormat="1" ht="17.25" x14ac:dyDescent="0.25">
      <c r="A19" s="22">
        <f t="shared" si="15"/>
        <v>7</v>
      </c>
      <c r="B19" s="23" t="s">
        <v>38</v>
      </c>
      <c r="C19" s="24">
        <f t="shared" si="18"/>
        <v>1257</v>
      </c>
      <c r="D19" s="25">
        <f t="shared" si="16"/>
        <v>1257</v>
      </c>
      <c r="E19" s="25">
        <f t="shared" si="17"/>
        <v>0</v>
      </c>
      <c r="F19" s="26">
        <v>54</v>
      </c>
      <c r="G19" s="26">
        <v>1</v>
      </c>
      <c r="H19" s="26">
        <v>2</v>
      </c>
      <c r="I19" s="26"/>
      <c r="J19" s="42">
        <v>168</v>
      </c>
      <c r="K19" s="42">
        <v>0</v>
      </c>
      <c r="L19" s="42">
        <v>1035</v>
      </c>
      <c r="M19" s="42">
        <v>0</v>
      </c>
      <c r="N19" s="37">
        <v>168</v>
      </c>
      <c r="O19" s="37">
        <v>0</v>
      </c>
      <c r="P19" s="37">
        <v>1035</v>
      </c>
      <c r="Q19" s="37">
        <v>0</v>
      </c>
      <c r="R19" s="42">
        <f t="shared" si="11"/>
        <v>1068.45</v>
      </c>
      <c r="S19" s="44">
        <f t="shared" si="12"/>
        <v>-188.54999999999995</v>
      </c>
      <c r="T19" s="33">
        <f t="shared" si="13"/>
        <v>3</v>
      </c>
      <c r="U19" s="33">
        <f t="shared" si="14"/>
        <v>1.9500000000000002</v>
      </c>
    </row>
    <row r="20" spans="1:21" s="3" customFormat="1" ht="17.25" x14ac:dyDescent="0.25">
      <c r="A20" s="22">
        <f t="shared" si="15"/>
        <v>8</v>
      </c>
      <c r="B20" s="23" t="s">
        <v>30</v>
      </c>
      <c r="C20" s="24">
        <f t="shared" si="18"/>
        <v>470</v>
      </c>
      <c r="D20" s="25">
        <f t="shared" si="16"/>
        <v>470</v>
      </c>
      <c r="E20" s="25">
        <f t="shared" si="17"/>
        <v>0</v>
      </c>
      <c r="F20" s="26">
        <v>84</v>
      </c>
      <c r="G20" s="26">
        <v>1</v>
      </c>
      <c r="H20" s="26">
        <v>2</v>
      </c>
      <c r="I20" s="26"/>
      <c r="J20" s="42">
        <v>386</v>
      </c>
      <c r="K20" s="42">
        <v>0</v>
      </c>
      <c r="L20" s="42">
        <v>0</v>
      </c>
      <c r="M20" s="42">
        <v>0</v>
      </c>
      <c r="N20" s="37">
        <v>386</v>
      </c>
      <c r="O20" s="37">
        <v>0</v>
      </c>
      <c r="P20" s="37">
        <v>0</v>
      </c>
      <c r="Q20" s="37">
        <v>0</v>
      </c>
      <c r="R20" s="42">
        <f t="shared" si="11"/>
        <v>399.5</v>
      </c>
      <c r="S20" s="44">
        <f t="shared" si="12"/>
        <v>-70.5</v>
      </c>
      <c r="T20" s="33">
        <f t="shared" si="13"/>
        <v>3</v>
      </c>
      <c r="U20" s="33">
        <f t="shared" si="14"/>
        <v>1.9500000000000002</v>
      </c>
    </row>
    <row r="21" spans="1:21" s="3" customFormat="1" ht="17.25" x14ac:dyDescent="0.25">
      <c r="A21" s="22">
        <f>+A20+1</f>
        <v>9</v>
      </c>
      <c r="B21" s="23" t="s">
        <v>29</v>
      </c>
      <c r="C21" s="24">
        <f t="shared" si="18"/>
        <v>894</v>
      </c>
      <c r="D21" s="25">
        <f t="shared" si="16"/>
        <v>894</v>
      </c>
      <c r="E21" s="25">
        <f t="shared" si="17"/>
        <v>0</v>
      </c>
      <c r="F21" s="26">
        <v>69</v>
      </c>
      <c r="G21" s="26">
        <v>1</v>
      </c>
      <c r="H21" s="26">
        <v>2</v>
      </c>
      <c r="I21" s="26"/>
      <c r="J21" s="42">
        <v>164</v>
      </c>
      <c r="K21" s="42">
        <v>0</v>
      </c>
      <c r="L21" s="42">
        <v>661</v>
      </c>
      <c r="M21" s="42">
        <v>0</v>
      </c>
      <c r="N21" s="37">
        <v>164</v>
      </c>
      <c r="O21" s="37"/>
      <c r="P21" s="37">
        <v>661</v>
      </c>
      <c r="Q21" s="37">
        <v>0</v>
      </c>
      <c r="R21" s="42">
        <f t="shared" si="11"/>
        <v>759.9</v>
      </c>
      <c r="S21" s="44">
        <f t="shared" si="12"/>
        <v>-134.10000000000002</v>
      </c>
      <c r="T21" s="33">
        <f t="shared" si="13"/>
        <v>3</v>
      </c>
      <c r="U21" s="33">
        <f t="shared" si="14"/>
        <v>1.9500000000000002</v>
      </c>
    </row>
    <row r="22" spans="1:21" s="3" customFormat="1" ht="17.25" x14ac:dyDescent="0.25">
      <c r="A22" s="22">
        <f t="shared" si="15"/>
        <v>10</v>
      </c>
      <c r="B22" s="23" t="s">
        <v>34</v>
      </c>
      <c r="C22" s="24">
        <f t="shared" si="18"/>
        <v>166</v>
      </c>
      <c r="D22" s="25">
        <f t="shared" si="16"/>
        <v>166</v>
      </c>
      <c r="E22" s="25">
        <f t="shared" si="17"/>
        <v>0</v>
      </c>
      <c r="F22" s="26">
        <v>114</v>
      </c>
      <c r="G22" s="26"/>
      <c r="H22" s="26">
        <v>1</v>
      </c>
      <c r="I22" s="26"/>
      <c r="J22" s="42">
        <v>52</v>
      </c>
      <c r="K22" s="42">
        <v>0</v>
      </c>
      <c r="L22" s="42">
        <v>0</v>
      </c>
      <c r="M22" s="42">
        <v>0</v>
      </c>
      <c r="N22" s="38">
        <v>52</v>
      </c>
      <c r="O22" s="37"/>
      <c r="P22" s="37"/>
      <c r="Q22" s="37"/>
      <c r="R22" s="42">
        <f t="shared" si="11"/>
        <v>141.1</v>
      </c>
      <c r="S22" s="44">
        <f t="shared" si="12"/>
        <v>-24.900000000000006</v>
      </c>
      <c r="T22" s="33">
        <f t="shared" si="13"/>
        <v>1</v>
      </c>
      <c r="U22" s="33">
        <f t="shared" si="14"/>
        <v>0.65</v>
      </c>
    </row>
    <row r="23" spans="1:21" s="3" customFormat="1" ht="17.25" x14ac:dyDescent="0.25">
      <c r="A23" s="22">
        <f t="shared" si="15"/>
        <v>11</v>
      </c>
      <c r="B23" s="23" t="s">
        <v>22</v>
      </c>
      <c r="C23" s="24">
        <f t="shared" si="18"/>
        <v>338</v>
      </c>
      <c r="D23" s="25">
        <f t="shared" si="16"/>
        <v>274</v>
      </c>
      <c r="E23" s="25">
        <f t="shared" si="17"/>
        <v>64</v>
      </c>
      <c r="F23" s="26">
        <v>134</v>
      </c>
      <c r="G23" s="26">
        <v>1</v>
      </c>
      <c r="H23" s="26">
        <v>4</v>
      </c>
      <c r="I23" s="26"/>
      <c r="J23" s="42">
        <v>140</v>
      </c>
      <c r="K23" s="42">
        <v>64</v>
      </c>
      <c r="L23" s="42">
        <v>0</v>
      </c>
      <c r="M23" s="42">
        <v>0</v>
      </c>
      <c r="N23" s="38">
        <v>140</v>
      </c>
      <c r="O23" s="37">
        <f>204-140</f>
        <v>64</v>
      </c>
      <c r="P23" s="37"/>
      <c r="Q23" s="37"/>
      <c r="R23" s="42">
        <f t="shared" si="11"/>
        <v>287.3</v>
      </c>
      <c r="S23" s="44">
        <f t="shared" si="12"/>
        <v>-50.699999999999989</v>
      </c>
      <c r="T23" s="33">
        <f t="shared" si="13"/>
        <v>5</v>
      </c>
      <c r="U23" s="33">
        <f t="shared" si="14"/>
        <v>3.25</v>
      </c>
    </row>
    <row r="24" spans="1:21" s="3" customFormat="1" ht="17.25" x14ac:dyDescent="0.25">
      <c r="A24" s="22">
        <f t="shared" si="15"/>
        <v>12</v>
      </c>
      <c r="B24" s="23" t="s">
        <v>23</v>
      </c>
      <c r="C24" s="24">
        <f t="shared" si="18"/>
        <v>4857.5</v>
      </c>
      <c r="D24" s="25">
        <f t="shared" si="16"/>
        <v>1764</v>
      </c>
      <c r="E24" s="25">
        <f t="shared" si="17"/>
        <v>3093.5</v>
      </c>
      <c r="F24" s="26">
        <v>200</v>
      </c>
      <c r="G24" s="26">
        <v>1</v>
      </c>
      <c r="H24" s="26">
        <v>4</v>
      </c>
      <c r="I24" s="26"/>
      <c r="J24" s="42">
        <v>614</v>
      </c>
      <c r="K24" s="42">
        <v>126</v>
      </c>
      <c r="L24" s="42">
        <v>950</v>
      </c>
      <c r="M24" s="42">
        <v>2967.5</v>
      </c>
      <c r="N24" s="37">
        <v>614</v>
      </c>
      <c r="O24" s="37">
        <v>126</v>
      </c>
      <c r="P24" s="37">
        <v>950</v>
      </c>
      <c r="Q24" s="37">
        <v>2967.5</v>
      </c>
      <c r="R24" s="42">
        <f t="shared" si="11"/>
        <v>4128.875</v>
      </c>
      <c r="S24" s="44">
        <f t="shared" si="12"/>
        <v>-728.625</v>
      </c>
      <c r="T24" s="33">
        <f t="shared" si="13"/>
        <v>5</v>
      </c>
      <c r="U24" s="33">
        <f t="shared" si="14"/>
        <v>3.25</v>
      </c>
    </row>
    <row r="25" spans="1:21" s="3" customFormat="1" ht="17.25" x14ac:dyDescent="0.25">
      <c r="A25" s="22">
        <f t="shared" si="15"/>
        <v>13</v>
      </c>
      <c r="B25" s="23" t="s">
        <v>33</v>
      </c>
      <c r="C25" s="24">
        <f t="shared" si="18"/>
        <v>2446.5</v>
      </c>
      <c r="D25" s="25">
        <f t="shared" si="16"/>
        <v>1975.5</v>
      </c>
      <c r="E25" s="25">
        <f t="shared" si="17"/>
        <v>471</v>
      </c>
      <c r="F25" s="26">
        <v>142</v>
      </c>
      <c r="G25" s="26">
        <v>1</v>
      </c>
      <c r="H25" s="26">
        <v>2</v>
      </c>
      <c r="I25" s="26"/>
      <c r="J25" s="42">
        <v>406</v>
      </c>
      <c r="K25" s="42">
        <v>58</v>
      </c>
      <c r="L25" s="42">
        <v>1427.5</v>
      </c>
      <c r="M25" s="42">
        <v>413</v>
      </c>
      <c r="N25" s="37">
        <v>406</v>
      </c>
      <c r="O25" s="37">
        <v>58</v>
      </c>
      <c r="P25" s="37">
        <v>1427.5</v>
      </c>
      <c r="Q25" s="37">
        <v>413</v>
      </c>
      <c r="R25" s="42">
        <f t="shared" si="11"/>
        <v>2079.5250000000001</v>
      </c>
      <c r="S25" s="44">
        <f t="shared" si="12"/>
        <v>-366.97499999999991</v>
      </c>
      <c r="T25" s="33">
        <f t="shared" si="13"/>
        <v>3</v>
      </c>
      <c r="U25" s="33">
        <f t="shared" si="14"/>
        <v>1.9500000000000002</v>
      </c>
    </row>
    <row r="26" spans="1:21" s="3" customFormat="1" ht="17.25" x14ac:dyDescent="0.25">
      <c r="A26" s="22">
        <f t="shared" si="15"/>
        <v>14</v>
      </c>
      <c r="B26" s="23" t="s">
        <v>28</v>
      </c>
      <c r="C26" s="24">
        <f t="shared" si="18"/>
        <v>4972</v>
      </c>
      <c r="D26" s="25">
        <f t="shared" si="16"/>
        <v>4972</v>
      </c>
      <c r="E26" s="25">
        <f t="shared" si="17"/>
        <v>0</v>
      </c>
      <c r="F26" s="26">
        <v>320</v>
      </c>
      <c r="G26" s="26">
        <v>1</v>
      </c>
      <c r="H26" s="26">
        <v>4</v>
      </c>
      <c r="I26" s="26"/>
      <c r="J26" s="42">
        <v>592</v>
      </c>
      <c r="K26" s="42">
        <v>0</v>
      </c>
      <c r="L26" s="42">
        <v>4060</v>
      </c>
      <c r="M26" s="42">
        <v>0</v>
      </c>
      <c r="N26" s="37">
        <v>592</v>
      </c>
      <c r="O26" s="37">
        <v>0</v>
      </c>
      <c r="P26" s="37">
        <v>4060</v>
      </c>
      <c r="Q26" s="37">
        <v>0</v>
      </c>
      <c r="R26" s="42">
        <f t="shared" si="11"/>
        <v>4226.2</v>
      </c>
      <c r="S26" s="44">
        <f t="shared" si="12"/>
        <v>-745.80000000000018</v>
      </c>
      <c r="T26" s="33">
        <f t="shared" si="13"/>
        <v>5</v>
      </c>
      <c r="U26" s="33">
        <f t="shared" si="14"/>
        <v>3.25</v>
      </c>
    </row>
    <row r="27" spans="1:21" s="3" customFormat="1" ht="30" customHeight="1" x14ac:dyDescent="0.25">
      <c r="A27" s="22">
        <f t="shared" si="15"/>
        <v>15</v>
      </c>
      <c r="B27" s="23" t="s">
        <v>28</v>
      </c>
      <c r="C27" s="24">
        <f t="shared" si="18"/>
        <v>234</v>
      </c>
      <c r="D27" s="25">
        <f t="shared" si="16"/>
        <v>234</v>
      </c>
      <c r="E27" s="25">
        <f t="shared" si="17"/>
        <v>0</v>
      </c>
      <c r="F27" s="26">
        <v>142</v>
      </c>
      <c r="G27" s="26">
        <v>1</v>
      </c>
      <c r="H27" s="26">
        <v>3</v>
      </c>
      <c r="I27" s="26"/>
      <c r="J27" s="42">
        <v>92</v>
      </c>
      <c r="K27" s="42">
        <v>0</v>
      </c>
      <c r="L27" s="42">
        <v>0</v>
      </c>
      <c r="M27" s="42">
        <v>0</v>
      </c>
      <c r="N27" s="37">
        <v>92</v>
      </c>
      <c r="O27" s="37"/>
      <c r="P27" s="37"/>
      <c r="Q27" s="37"/>
      <c r="R27" s="42">
        <f t="shared" si="11"/>
        <v>198.9</v>
      </c>
      <c r="S27" s="44">
        <f t="shared" si="12"/>
        <v>-35.099999999999994</v>
      </c>
      <c r="T27" s="33">
        <f t="shared" si="13"/>
        <v>4</v>
      </c>
      <c r="U27" s="33">
        <f t="shared" si="14"/>
        <v>2.6</v>
      </c>
    </row>
    <row r="28" spans="1:21" s="3" customFormat="1" ht="17.25" x14ac:dyDescent="0.25">
      <c r="A28" s="22">
        <f t="shared" si="15"/>
        <v>16</v>
      </c>
      <c r="B28" s="23" t="s">
        <v>20</v>
      </c>
      <c r="C28" s="24">
        <f t="shared" si="10"/>
        <v>911</v>
      </c>
      <c r="D28" s="25">
        <f t="shared" si="16"/>
        <v>445</v>
      </c>
      <c r="E28" s="25">
        <f t="shared" si="17"/>
        <v>466</v>
      </c>
      <c r="F28" s="26">
        <v>130</v>
      </c>
      <c r="G28" s="26">
        <v>0</v>
      </c>
      <c r="H28" s="26">
        <v>3</v>
      </c>
      <c r="I28" s="26"/>
      <c r="J28" s="42">
        <v>315</v>
      </c>
      <c r="K28" s="42">
        <v>466</v>
      </c>
      <c r="L28" s="42">
        <v>0</v>
      </c>
      <c r="M28" s="42">
        <v>0</v>
      </c>
      <c r="N28" s="37">
        <v>315</v>
      </c>
      <c r="O28" s="37">
        <v>466</v>
      </c>
      <c r="P28" s="37"/>
      <c r="Q28" s="37"/>
      <c r="R28" s="42">
        <f t="shared" si="11"/>
        <v>774.35</v>
      </c>
      <c r="S28" s="44">
        <f t="shared" si="12"/>
        <v>-136.64999999999998</v>
      </c>
      <c r="T28" s="33">
        <f t="shared" si="13"/>
        <v>3</v>
      </c>
      <c r="U28" s="33">
        <f t="shared" si="14"/>
        <v>1.9500000000000002</v>
      </c>
    </row>
    <row r="29" spans="1:21" s="3" customFormat="1" ht="17.25" x14ac:dyDescent="0.25">
      <c r="A29" s="22">
        <f t="shared" si="15"/>
        <v>17</v>
      </c>
      <c r="B29" s="23" t="s">
        <v>35</v>
      </c>
      <c r="C29" s="24">
        <f t="shared" ref="C29:C32" si="19">SUM(D29:E29)</f>
        <v>3070</v>
      </c>
      <c r="D29" s="25">
        <f t="shared" si="16"/>
        <v>3070</v>
      </c>
      <c r="E29" s="25">
        <f t="shared" si="17"/>
        <v>0</v>
      </c>
      <c r="F29" s="26">
        <v>191</v>
      </c>
      <c r="G29" s="26">
        <v>1</v>
      </c>
      <c r="H29" s="26">
        <v>5</v>
      </c>
      <c r="I29" s="26"/>
      <c r="J29" s="42">
        <v>920</v>
      </c>
      <c r="K29" s="42">
        <v>0</v>
      </c>
      <c r="L29" s="42">
        <v>1959</v>
      </c>
      <c r="M29" s="42">
        <v>0</v>
      </c>
      <c r="N29" s="37">
        <v>920</v>
      </c>
      <c r="O29" s="37"/>
      <c r="P29" s="37">
        <v>1959</v>
      </c>
      <c r="Q29" s="37"/>
      <c r="R29" s="42">
        <f t="shared" si="11"/>
        <v>2609.5</v>
      </c>
      <c r="S29" s="44">
        <f t="shared" si="12"/>
        <v>-460.5</v>
      </c>
      <c r="T29" s="33">
        <f t="shared" si="13"/>
        <v>6</v>
      </c>
      <c r="U29" s="33">
        <f t="shared" si="14"/>
        <v>3.9000000000000004</v>
      </c>
    </row>
    <row r="30" spans="1:21" s="3" customFormat="1" ht="17.25" x14ac:dyDescent="0.25">
      <c r="A30" s="22">
        <f t="shared" si="15"/>
        <v>18</v>
      </c>
      <c r="B30" s="23" t="s">
        <v>36</v>
      </c>
      <c r="C30" s="24">
        <f t="shared" si="19"/>
        <v>7788</v>
      </c>
      <c r="D30" s="25">
        <f t="shared" si="16"/>
        <v>1440</v>
      </c>
      <c r="E30" s="25">
        <f t="shared" si="17"/>
        <v>6348</v>
      </c>
      <c r="F30" s="26">
        <v>85</v>
      </c>
      <c r="G30" s="26">
        <v>1</v>
      </c>
      <c r="H30" s="26">
        <v>3</v>
      </c>
      <c r="I30" s="26"/>
      <c r="J30" s="42">
        <v>240</v>
      </c>
      <c r="K30" s="42">
        <v>846</v>
      </c>
      <c r="L30" s="42">
        <v>1115</v>
      </c>
      <c r="M30" s="42">
        <v>5502</v>
      </c>
      <c r="N30" s="37">
        <v>240</v>
      </c>
      <c r="O30" s="37">
        <v>846</v>
      </c>
      <c r="P30" s="37">
        <v>1115</v>
      </c>
      <c r="Q30" s="37">
        <v>5502</v>
      </c>
      <c r="R30" s="42">
        <f>+C30-(C30*0.1)</f>
        <v>7009.2</v>
      </c>
      <c r="S30" s="44">
        <f t="shared" si="12"/>
        <v>-778.80000000000018</v>
      </c>
      <c r="T30" s="33">
        <f t="shared" si="13"/>
        <v>4</v>
      </c>
      <c r="U30" s="33">
        <f t="shared" si="14"/>
        <v>2.6</v>
      </c>
    </row>
    <row r="31" spans="1:21" s="3" customFormat="1" ht="17.25" x14ac:dyDescent="0.25">
      <c r="A31" s="22">
        <f t="shared" si="15"/>
        <v>19</v>
      </c>
      <c r="B31" s="23" t="s">
        <v>37</v>
      </c>
      <c r="C31" s="24">
        <f t="shared" si="19"/>
        <v>115</v>
      </c>
      <c r="D31" s="25">
        <f t="shared" si="16"/>
        <v>115</v>
      </c>
      <c r="E31" s="25">
        <f t="shared" si="17"/>
        <v>0</v>
      </c>
      <c r="F31" s="26">
        <v>115</v>
      </c>
      <c r="G31" s="26">
        <v>1</v>
      </c>
      <c r="H31" s="26">
        <v>2</v>
      </c>
      <c r="I31" s="26"/>
      <c r="J31" s="42">
        <v>0</v>
      </c>
      <c r="K31" s="42">
        <v>0</v>
      </c>
      <c r="L31" s="42">
        <v>0</v>
      </c>
      <c r="M31" s="42">
        <v>0</v>
      </c>
      <c r="N31" s="37"/>
      <c r="O31" s="37"/>
      <c r="P31" s="37"/>
      <c r="Q31" s="37"/>
      <c r="R31" s="42">
        <f>+C31-(C31*0.1)</f>
        <v>103.5</v>
      </c>
      <c r="S31" s="44">
        <f t="shared" si="12"/>
        <v>-11.5</v>
      </c>
      <c r="T31" s="33">
        <f t="shared" si="13"/>
        <v>3</v>
      </c>
      <c r="U31" s="33">
        <f t="shared" si="14"/>
        <v>1.9500000000000002</v>
      </c>
    </row>
    <row r="32" spans="1:21" s="3" customFormat="1" ht="17.25" x14ac:dyDescent="0.25">
      <c r="A32" s="22">
        <f t="shared" si="15"/>
        <v>20</v>
      </c>
      <c r="B32" s="23" t="s">
        <v>31</v>
      </c>
      <c r="C32" s="24">
        <f t="shared" si="19"/>
        <v>670</v>
      </c>
      <c r="D32" s="25">
        <f t="shared" si="16"/>
        <v>670</v>
      </c>
      <c r="E32" s="25">
        <f t="shared" si="17"/>
        <v>0</v>
      </c>
      <c r="F32" s="26">
        <v>76</v>
      </c>
      <c r="G32" s="26">
        <v>1</v>
      </c>
      <c r="H32" s="26">
        <v>2</v>
      </c>
      <c r="I32" s="26"/>
      <c r="J32" s="42">
        <v>208</v>
      </c>
      <c r="K32" s="42">
        <v>0</v>
      </c>
      <c r="L32" s="42">
        <v>386</v>
      </c>
      <c r="M32" s="42">
        <v>0</v>
      </c>
      <c r="N32" s="37">
        <v>208</v>
      </c>
      <c r="O32" s="37">
        <v>0</v>
      </c>
      <c r="P32" s="37">
        <v>386</v>
      </c>
      <c r="Q32" s="37">
        <v>0</v>
      </c>
      <c r="R32" s="42">
        <v>670</v>
      </c>
      <c r="S32" s="44">
        <f t="shared" si="12"/>
        <v>0</v>
      </c>
      <c r="T32" s="33">
        <f t="shared" si="13"/>
        <v>3</v>
      </c>
      <c r="U32" s="33">
        <f t="shared" si="14"/>
        <v>1.9500000000000002</v>
      </c>
    </row>
    <row r="33" spans="1:22" s="3" customFormat="1" ht="17.25" x14ac:dyDescent="0.25">
      <c r="A33" s="22">
        <f t="shared" si="15"/>
        <v>21</v>
      </c>
      <c r="B33" s="23" t="s">
        <v>24</v>
      </c>
      <c r="C33" s="24">
        <f t="shared" si="10"/>
        <v>562</v>
      </c>
      <c r="D33" s="25">
        <f t="shared" si="16"/>
        <v>562</v>
      </c>
      <c r="E33" s="25">
        <f t="shared" si="17"/>
        <v>0</v>
      </c>
      <c r="F33" s="26">
        <v>143</v>
      </c>
      <c r="G33" s="26">
        <v>1</v>
      </c>
      <c r="H33" s="26">
        <v>4</v>
      </c>
      <c r="I33" s="26"/>
      <c r="J33" s="42">
        <v>419</v>
      </c>
      <c r="K33" s="42">
        <v>0</v>
      </c>
      <c r="L33" s="42">
        <v>0</v>
      </c>
      <c r="M33" s="42">
        <v>0</v>
      </c>
      <c r="N33" s="37">
        <v>419</v>
      </c>
      <c r="O33" s="37"/>
      <c r="P33" s="37"/>
      <c r="Q33" s="37"/>
      <c r="R33" s="42">
        <v>562</v>
      </c>
      <c r="S33" s="44">
        <f t="shared" si="12"/>
        <v>0</v>
      </c>
      <c r="T33" s="33">
        <f t="shared" si="13"/>
        <v>5</v>
      </c>
      <c r="U33" s="33">
        <f t="shared" si="14"/>
        <v>3.25</v>
      </c>
    </row>
    <row r="34" spans="1:22" s="3" customFormat="1" ht="17.25" x14ac:dyDescent="0.25">
      <c r="A34" s="22">
        <f t="shared" si="15"/>
        <v>22</v>
      </c>
      <c r="B34" s="23" t="s">
        <v>6</v>
      </c>
      <c r="C34" s="24">
        <f t="shared" ref="C34:C35" si="20">SUM(D34:E34)</f>
        <v>277</v>
      </c>
      <c r="D34" s="25">
        <f t="shared" si="16"/>
        <v>277</v>
      </c>
      <c r="E34" s="25">
        <f t="shared" si="17"/>
        <v>0</v>
      </c>
      <c r="F34" s="26">
        <f>11+266</f>
        <v>277</v>
      </c>
      <c r="G34" s="26">
        <v>1</v>
      </c>
      <c r="H34" s="26">
        <v>4</v>
      </c>
      <c r="I34" s="26"/>
      <c r="J34" s="42">
        <v>0</v>
      </c>
      <c r="K34" s="42"/>
      <c r="L34" s="42"/>
      <c r="M34" s="42"/>
      <c r="N34" s="37"/>
      <c r="O34" s="37"/>
      <c r="P34" s="37"/>
      <c r="Q34" s="37"/>
      <c r="R34" s="42">
        <f>+C34-(C34*0.1)</f>
        <v>249.3</v>
      </c>
      <c r="S34" s="44">
        <f t="shared" si="12"/>
        <v>-27.699999999999989</v>
      </c>
      <c r="T34" s="33">
        <f t="shared" si="13"/>
        <v>5</v>
      </c>
      <c r="U34" s="33">
        <f t="shared" si="14"/>
        <v>3.25</v>
      </c>
    </row>
    <row r="35" spans="1:22" s="4" customFormat="1" ht="17.25" x14ac:dyDescent="0.25">
      <c r="A35" s="22">
        <f t="shared" si="15"/>
        <v>23</v>
      </c>
      <c r="B35" s="27" t="s">
        <v>101</v>
      </c>
      <c r="C35" s="28">
        <f t="shared" si="20"/>
        <v>0</v>
      </c>
      <c r="D35" s="29">
        <f t="shared" si="16"/>
        <v>0</v>
      </c>
      <c r="E35" s="29">
        <f t="shared" si="17"/>
        <v>0</v>
      </c>
      <c r="F35" s="30"/>
      <c r="G35" s="30"/>
      <c r="H35" s="30"/>
      <c r="I35" s="30"/>
      <c r="J35" s="28"/>
      <c r="K35" s="28"/>
      <c r="L35" s="28"/>
      <c r="M35" s="28"/>
      <c r="N35" s="39"/>
      <c r="O35" s="39"/>
      <c r="P35" s="39"/>
      <c r="Q35" s="39"/>
      <c r="R35" s="28"/>
      <c r="S35" s="47"/>
      <c r="T35" s="33">
        <f t="shared" si="13"/>
        <v>0</v>
      </c>
      <c r="U35" s="33">
        <f t="shared" si="14"/>
        <v>0</v>
      </c>
    </row>
    <row r="36" spans="1:22" s="4" customFormat="1" ht="17.25" x14ac:dyDescent="0.25">
      <c r="A36" s="22">
        <f t="shared" si="15"/>
        <v>24</v>
      </c>
      <c r="B36" s="27" t="s">
        <v>100</v>
      </c>
      <c r="C36" s="28">
        <f t="shared" si="10"/>
        <v>0</v>
      </c>
      <c r="D36" s="29">
        <f t="shared" si="16"/>
        <v>0</v>
      </c>
      <c r="E36" s="29">
        <f>SUM(I36,K36,M36)</f>
        <v>0</v>
      </c>
      <c r="F36" s="30"/>
      <c r="G36" s="30"/>
      <c r="H36" s="30"/>
      <c r="I36" s="30"/>
      <c r="J36" s="28"/>
      <c r="K36" s="28"/>
      <c r="L36" s="28"/>
      <c r="M36" s="28"/>
      <c r="N36" s="39"/>
      <c r="O36" s="39"/>
      <c r="P36" s="39"/>
      <c r="Q36" s="39"/>
      <c r="R36" s="28"/>
      <c r="S36" s="47"/>
      <c r="T36" s="33">
        <f t="shared" si="13"/>
        <v>0</v>
      </c>
      <c r="U36" s="33">
        <f t="shared" si="14"/>
        <v>0</v>
      </c>
    </row>
    <row r="37" spans="1:22" s="4" customFormat="1" ht="17.25" x14ac:dyDescent="0.25">
      <c r="A37" s="22">
        <f t="shared" si="15"/>
        <v>25</v>
      </c>
      <c r="B37" s="27" t="s">
        <v>102</v>
      </c>
      <c r="C37" s="28">
        <f t="shared" si="10"/>
        <v>0</v>
      </c>
      <c r="D37" s="29">
        <f t="shared" si="16"/>
        <v>0</v>
      </c>
      <c r="E37" s="29">
        <f t="shared" ref="E37" si="21">SUM(I37,K37,M37)</f>
        <v>0</v>
      </c>
      <c r="F37" s="30"/>
      <c r="G37" s="30"/>
      <c r="H37" s="30"/>
      <c r="I37" s="30"/>
      <c r="J37" s="28"/>
      <c r="K37" s="28"/>
      <c r="L37" s="28"/>
      <c r="M37" s="28"/>
      <c r="N37" s="39"/>
      <c r="O37" s="39"/>
      <c r="P37" s="39"/>
      <c r="Q37" s="39"/>
      <c r="R37" s="28"/>
      <c r="S37" s="47"/>
      <c r="T37" s="33">
        <f t="shared" si="13"/>
        <v>0</v>
      </c>
      <c r="U37" s="33">
        <f t="shared" si="14"/>
        <v>0</v>
      </c>
    </row>
    <row r="38" spans="1:22" s="3" customFormat="1" ht="17.25" x14ac:dyDescent="0.25">
      <c r="A38" s="156" t="s">
        <v>104</v>
      </c>
      <c r="B38" s="156"/>
      <c r="C38" s="19">
        <f t="shared" ref="C38:S38" si="22">+C39+C50</f>
        <v>28204.5</v>
      </c>
      <c r="D38" s="19">
        <f t="shared" si="22"/>
        <v>26805</v>
      </c>
      <c r="E38" s="19">
        <f t="shared" si="22"/>
        <v>1399.5</v>
      </c>
      <c r="F38" s="19">
        <f t="shared" si="22"/>
        <v>1498</v>
      </c>
      <c r="G38" s="19">
        <f t="shared" si="22"/>
        <v>10</v>
      </c>
      <c r="H38" s="19">
        <f t="shared" si="22"/>
        <v>28</v>
      </c>
      <c r="I38" s="19">
        <f t="shared" si="22"/>
        <v>17</v>
      </c>
      <c r="J38" s="19">
        <f t="shared" si="22"/>
        <v>5161</v>
      </c>
      <c r="K38" s="19">
        <f t="shared" si="22"/>
        <v>75</v>
      </c>
      <c r="L38" s="19">
        <f t="shared" si="22"/>
        <v>20146</v>
      </c>
      <c r="M38" s="19">
        <f t="shared" si="22"/>
        <v>1307.5</v>
      </c>
      <c r="N38" s="9">
        <f t="shared" si="22"/>
        <v>5644</v>
      </c>
      <c r="O38" s="9">
        <f t="shared" si="22"/>
        <v>70</v>
      </c>
      <c r="P38" s="9">
        <f t="shared" si="22"/>
        <v>10977</v>
      </c>
      <c r="Q38" s="9">
        <f t="shared" si="22"/>
        <v>1307.5</v>
      </c>
      <c r="R38" s="19">
        <f t="shared" si="22"/>
        <v>25734.474999999999</v>
      </c>
      <c r="S38" s="46">
        <f t="shared" si="22"/>
        <v>-2470.0249999999996</v>
      </c>
      <c r="T38" s="33">
        <f t="shared" si="13"/>
        <v>38</v>
      </c>
      <c r="U38" s="33">
        <f t="shared" si="14"/>
        <v>24.700000000000003</v>
      </c>
    </row>
    <row r="39" spans="1:22" ht="17.25" x14ac:dyDescent="0.25">
      <c r="A39" s="159" t="s">
        <v>110</v>
      </c>
      <c r="B39" s="159"/>
      <c r="C39" s="20">
        <f t="shared" ref="C39:S39" si="23">SUM(C40:C49)</f>
        <v>26945.5</v>
      </c>
      <c r="D39" s="20">
        <f t="shared" si="23"/>
        <v>25551</v>
      </c>
      <c r="E39" s="20">
        <f t="shared" si="23"/>
        <v>1394.5</v>
      </c>
      <c r="F39" s="20">
        <f t="shared" si="23"/>
        <v>1203</v>
      </c>
      <c r="G39" s="20">
        <f t="shared" si="23"/>
        <v>6</v>
      </c>
      <c r="H39" s="20">
        <f t="shared" si="23"/>
        <v>18</v>
      </c>
      <c r="I39" s="20">
        <f t="shared" si="23"/>
        <v>17</v>
      </c>
      <c r="J39" s="20">
        <f t="shared" si="23"/>
        <v>4409</v>
      </c>
      <c r="K39" s="20">
        <f t="shared" si="23"/>
        <v>70</v>
      </c>
      <c r="L39" s="20">
        <f t="shared" si="23"/>
        <v>19939</v>
      </c>
      <c r="M39" s="20">
        <f t="shared" si="23"/>
        <v>1307.5</v>
      </c>
      <c r="N39" s="10">
        <f t="shared" si="23"/>
        <v>4903</v>
      </c>
      <c r="O39" s="10">
        <f t="shared" si="23"/>
        <v>70</v>
      </c>
      <c r="P39" s="10">
        <f t="shared" si="23"/>
        <v>10770</v>
      </c>
      <c r="Q39" s="10">
        <f t="shared" si="23"/>
        <v>1307.5</v>
      </c>
      <c r="R39" s="20">
        <f t="shared" si="23"/>
        <v>24595.974999999999</v>
      </c>
      <c r="S39" s="48">
        <f t="shared" si="23"/>
        <v>-2349.5249999999996</v>
      </c>
      <c r="T39" s="33">
        <f t="shared" si="13"/>
        <v>24</v>
      </c>
      <c r="U39" s="33">
        <f t="shared" si="14"/>
        <v>15.600000000000001</v>
      </c>
    </row>
    <row r="40" spans="1:22" s="3" customFormat="1" ht="17.25" x14ac:dyDescent="0.25">
      <c r="A40" s="22">
        <v>1</v>
      </c>
      <c r="B40" s="23" t="s">
        <v>41</v>
      </c>
      <c r="C40" s="24">
        <f t="shared" ref="C40:C48" si="24">SUM(D40:E40)</f>
        <v>1689</v>
      </c>
      <c r="D40" s="25">
        <f t="shared" ref="D40:D49" si="25">SUM(F40,J40,L40)</f>
        <v>1689</v>
      </c>
      <c r="E40" s="25">
        <f>SUM(I40,K40,M40)</f>
        <v>0</v>
      </c>
      <c r="F40" s="26">
        <v>83</v>
      </c>
      <c r="G40" s="26">
        <v>1</v>
      </c>
      <c r="H40" s="26">
        <v>2</v>
      </c>
      <c r="I40" s="26"/>
      <c r="J40" s="42">
        <v>365</v>
      </c>
      <c r="K40" s="42">
        <v>0</v>
      </c>
      <c r="L40" s="42">
        <v>1241</v>
      </c>
      <c r="M40" s="42">
        <v>0</v>
      </c>
      <c r="N40" s="37">
        <v>859</v>
      </c>
      <c r="O40" s="37"/>
      <c r="P40" s="37">
        <v>760</v>
      </c>
      <c r="Q40" s="37"/>
      <c r="R40" s="42">
        <f>+C40-(C40*0.15)</f>
        <v>1435.65</v>
      </c>
      <c r="S40" s="44">
        <f t="shared" si="12"/>
        <v>-253.34999999999991</v>
      </c>
      <c r="T40" s="33">
        <f t="shared" si="13"/>
        <v>3</v>
      </c>
      <c r="U40" s="33">
        <f t="shared" si="14"/>
        <v>1.9500000000000002</v>
      </c>
    </row>
    <row r="41" spans="1:22" s="3" customFormat="1" ht="17.25" x14ac:dyDescent="0.25">
      <c r="A41" s="22">
        <f t="shared" ref="A41:A49" si="26">+A40+1</f>
        <v>2</v>
      </c>
      <c r="B41" s="23" t="s">
        <v>44</v>
      </c>
      <c r="C41" s="24">
        <f t="shared" si="24"/>
        <v>154</v>
      </c>
      <c r="D41" s="25">
        <f t="shared" si="25"/>
        <v>154</v>
      </c>
      <c r="E41" s="25">
        <f t="shared" ref="E41:E49" si="27">SUM(I41,K41,M41)</f>
        <v>0</v>
      </c>
      <c r="F41" s="26">
        <v>74</v>
      </c>
      <c r="G41" s="26">
        <v>0</v>
      </c>
      <c r="H41" s="26">
        <v>3</v>
      </c>
      <c r="I41" s="26"/>
      <c r="J41" s="42">
        <v>80</v>
      </c>
      <c r="K41" s="42">
        <v>0</v>
      </c>
      <c r="L41" s="42">
        <v>0</v>
      </c>
      <c r="M41" s="42">
        <v>0</v>
      </c>
      <c r="N41" s="37">
        <v>80</v>
      </c>
      <c r="O41" s="37"/>
      <c r="P41" s="37"/>
      <c r="Q41" s="37"/>
      <c r="R41" s="42">
        <f>+C41-(C41*0.15)</f>
        <v>130.9</v>
      </c>
      <c r="S41" s="44">
        <f t="shared" si="12"/>
        <v>-23.099999999999994</v>
      </c>
      <c r="T41" s="33">
        <f t="shared" si="13"/>
        <v>3</v>
      </c>
      <c r="U41" s="33">
        <f t="shared" si="14"/>
        <v>1.9500000000000002</v>
      </c>
    </row>
    <row r="42" spans="1:22" s="3" customFormat="1" ht="17.25" x14ac:dyDescent="0.3">
      <c r="A42" s="22">
        <f t="shared" si="26"/>
        <v>3</v>
      </c>
      <c r="B42" s="23" t="s">
        <v>45</v>
      </c>
      <c r="C42" s="24">
        <f t="shared" si="24"/>
        <v>1626</v>
      </c>
      <c r="D42" s="25">
        <f t="shared" si="25"/>
        <v>1626</v>
      </c>
      <c r="E42" s="25">
        <f t="shared" si="27"/>
        <v>0</v>
      </c>
      <c r="F42" s="26">
        <v>69</v>
      </c>
      <c r="G42" s="26">
        <v>2</v>
      </c>
      <c r="H42" s="26">
        <v>2</v>
      </c>
      <c r="I42" s="26"/>
      <c r="J42" s="42">
        <v>220</v>
      </c>
      <c r="K42" s="42">
        <v>0</v>
      </c>
      <c r="L42" s="42">
        <v>1337</v>
      </c>
      <c r="M42" s="42">
        <v>0</v>
      </c>
      <c r="N42" s="37">
        <v>220</v>
      </c>
      <c r="O42" s="37">
        <v>0</v>
      </c>
      <c r="P42" s="37">
        <v>1337</v>
      </c>
      <c r="Q42" s="40"/>
      <c r="R42" s="42">
        <f>+C42-(C42*0.15)</f>
        <v>1382.1</v>
      </c>
      <c r="S42" s="44">
        <f t="shared" si="12"/>
        <v>-243.90000000000009</v>
      </c>
      <c r="T42" s="33">
        <f t="shared" si="13"/>
        <v>4</v>
      </c>
      <c r="U42" s="33">
        <f t="shared" si="14"/>
        <v>2.6</v>
      </c>
      <c r="V42" s="8" t="s">
        <v>7</v>
      </c>
    </row>
    <row r="43" spans="1:22" s="3" customFormat="1" ht="17.25" x14ac:dyDescent="0.25">
      <c r="A43" s="22">
        <f t="shared" si="26"/>
        <v>4</v>
      </c>
      <c r="B43" s="23" t="s">
        <v>39</v>
      </c>
      <c r="C43" s="24">
        <f t="shared" si="24"/>
        <v>11738.5</v>
      </c>
      <c r="D43" s="25">
        <f t="shared" si="25"/>
        <v>10344</v>
      </c>
      <c r="E43" s="25">
        <f t="shared" si="27"/>
        <v>1394.5</v>
      </c>
      <c r="F43" s="26">
        <v>498</v>
      </c>
      <c r="G43" s="26">
        <v>1</v>
      </c>
      <c r="H43" s="26">
        <v>4</v>
      </c>
      <c r="I43" s="26">
        <v>17</v>
      </c>
      <c r="J43" s="42">
        <v>2554</v>
      </c>
      <c r="K43" s="42">
        <v>70</v>
      </c>
      <c r="L43" s="42">
        <v>7292</v>
      </c>
      <c r="M43" s="42">
        <v>1307.5</v>
      </c>
      <c r="N43" s="37">
        <v>2554</v>
      </c>
      <c r="O43" s="37">
        <v>70</v>
      </c>
      <c r="P43" s="37">
        <v>7292</v>
      </c>
      <c r="Q43" s="37">
        <v>1307.5</v>
      </c>
      <c r="R43" s="42">
        <f>+C43-(C43*0.15)</f>
        <v>9977.7250000000004</v>
      </c>
      <c r="S43" s="44">
        <f t="shared" si="12"/>
        <v>-1760.7749999999996</v>
      </c>
      <c r="T43" s="33">
        <f t="shared" si="13"/>
        <v>5</v>
      </c>
      <c r="U43" s="33">
        <f t="shared" si="14"/>
        <v>3.25</v>
      </c>
    </row>
    <row r="44" spans="1:22" s="4" customFormat="1" ht="17.25" x14ac:dyDescent="0.25">
      <c r="A44" s="22">
        <f t="shared" si="26"/>
        <v>5</v>
      </c>
      <c r="B44" s="27" t="s">
        <v>98</v>
      </c>
      <c r="C44" s="28">
        <f t="shared" si="24"/>
        <v>0</v>
      </c>
      <c r="D44" s="29">
        <f t="shared" si="25"/>
        <v>0</v>
      </c>
      <c r="E44" s="29">
        <f t="shared" si="27"/>
        <v>0</v>
      </c>
      <c r="F44" s="30"/>
      <c r="G44" s="30"/>
      <c r="H44" s="30"/>
      <c r="I44" s="30"/>
      <c r="J44" s="43"/>
      <c r="K44" s="43"/>
      <c r="L44" s="43"/>
      <c r="M44" s="43"/>
      <c r="N44" s="39"/>
      <c r="O44" s="39"/>
      <c r="P44" s="39"/>
      <c r="Q44" s="39"/>
      <c r="R44" s="43"/>
      <c r="S44" s="49"/>
      <c r="T44" s="33">
        <f t="shared" si="13"/>
        <v>0</v>
      </c>
      <c r="U44" s="33">
        <f t="shared" si="14"/>
        <v>0</v>
      </c>
    </row>
    <row r="45" spans="1:22" s="3" customFormat="1" ht="17.25" x14ac:dyDescent="0.25">
      <c r="A45" s="22">
        <f t="shared" si="26"/>
        <v>6</v>
      </c>
      <c r="B45" s="23" t="s">
        <v>43</v>
      </c>
      <c r="C45" s="24">
        <f t="shared" si="24"/>
        <v>236</v>
      </c>
      <c r="D45" s="25">
        <f t="shared" si="25"/>
        <v>236</v>
      </c>
      <c r="E45" s="25">
        <f t="shared" si="27"/>
        <v>0</v>
      </c>
      <c r="F45" s="26">
        <v>73</v>
      </c>
      <c r="G45" s="26">
        <v>1</v>
      </c>
      <c r="H45" s="26">
        <v>1</v>
      </c>
      <c r="I45" s="26"/>
      <c r="J45" s="42">
        <v>163</v>
      </c>
      <c r="K45" s="42">
        <v>0</v>
      </c>
      <c r="L45" s="42">
        <v>0</v>
      </c>
      <c r="M45" s="42">
        <v>0</v>
      </c>
      <c r="N45" s="37">
        <v>163</v>
      </c>
      <c r="O45" s="37"/>
      <c r="P45" s="37"/>
      <c r="Q45" s="37"/>
      <c r="R45" s="42">
        <f>+C45-(C45*0.15)</f>
        <v>200.6</v>
      </c>
      <c r="S45" s="44">
        <f t="shared" si="12"/>
        <v>-35.400000000000006</v>
      </c>
      <c r="T45" s="33">
        <f t="shared" si="13"/>
        <v>2</v>
      </c>
      <c r="U45" s="33">
        <f t="shared" si="14"/>
        <v>1.3</v>
      </c>
    </row>
    <row r="46" spans="1:22" s="3" customFormat="1" ht="17.25" x14ac:dyDescent="0.25">
      <c r="A46" s="22">
        <f t="shared" si="26"/>
        <v>7</v>
      </c>
      <c r="B46" s="23" t="s">
        <v>46</v>
      </c>
      <c r="C46" s="24">
        <f t="shared" si="24"/>
        <v>9526</v>
      </c>
      <c r="D46" s="25">
        <f t="shared" si="25"/>
        <v>9526</v>
      </c>
      <c r="E46" s="25">
        <f t="shared" si="27"/>
        <v>0</v>
      </c>
      <c r="F46" s="26">
        <v>49</v>
      </c>
      <c r="G46" s="26">
        <v>1</v>
      </c>
      <c r="H46" s="26">
        <v>2</v>
      </c>
      <c r="I46" s="26"/>
      <c r="J46" s="42">
        <v>168</v>
      </c>
      <c r="K46" s="42">
        <v>0</v>
      </c>
      <c r="L46" s="42">
        <v>9309</v>
      </c>
      <c r="M46" s="42">
        <v>0</v>
      </c>
      <c r="N46" s="37">
        <v>168</v>
      </c>
      <c r="O46" s="37">
        <v>0</v>
      </c>
      <c r="P46" s="37">
        <v>621</v>
      </c>
      <c r="Q46" s="40"/>
      <c r="R46" s="42">
        <f>+C46-33</f>
        <v>9493</v>
      </c>
      <c r="S46" s="44">
        <f t="shared" si="12"/>
        <v>-33</v>
      </c>
      <c r="T46" s="33">
        <f t="shared" si="13"/>
        <v>3</v>
      </c>
      <c r="U46" s="33">
        <f t="shared" si="14"/>
        <v>1.9500000000000002</v>
      </c>
    </row>
    <row r="47" spans="1:22" s="4" customFormat="1" ht="17.25" x14ac:dyDescent="0.25">
      <c r="A47" s="22">
        <f t="shared" si="26"/>
        <v>8</v>
      </c>
      <c r="B47" s="27" t="s">
        <v>99</v>
      </c>
      <c r="C47" s="28">
        <f t="shared" si="24"/>
        <v>0</v>
      </c>
      <c r="D47" s="29">
        <f t="shared" si="25"/>
        <v>0</v>
      </c>
      <c r="E47" s="29">
        <f t="shared" si="27"/>
        <v>0</v>
      </c>
      <c r="F47" s="30"/>
      <c r="G47" s="30"/>
      <c r="H47" s="30"/>
      <c r="I47" s="30"/>
      <c r="J47" s="43"/>
      <c r="K47" s="43"/>
      <c r="L47" s="43"/>
      <c r="M47" s="43"/>
      <c r="N47" s="39"/>
      <c r="O47" s="39"/>
      <c r="P47" s="39"/>
      <c r="Q47" s="41"/>
      <c r="R47" s="43"/>
      <c r="S47" s="49"/>
      <c r="T47" s="33">
        <f t="shared" si="13"/>
        <v>0</v>
      </c>
      <c r="U47" s="33">
        <f t="shared" si="14"/>
        <v>0</v>
      </c>
    </row>
    <row r="48" spans="1:22" s="3" customFormat="1" ht="17.25" x14ac:dyDescent="0.25">
      <c r="A48" s="22">
        <f t="shared" si="26"/>
        <v>9</v>
      </c>
      <c r="B48" s="23" t="s">
        <v>42</v>
      </c>
      <c r="C48" s="24">
        <f t="shared" si="24"/>
        <v>91</v>
      </c>
      <c r="D48" s="25">
        <f t="shared" si="25"/>
        <v>91</v>
      </c>
      <c r="E48" s="25">
        <f t="shared" si="27"/>
        <v>0</v>
      </c>
      <c r="F48" s="26">
        <v>91</v>
      </c>
      <c r="G48" s="26">
        <v>0</v>
      </c>
      <c r="H48" s="26">
        <v>2</v>
      </c>
      <c r="I48" s="26"/>
      <c r="J48" s="42">
        <v>0</v>
      </c>
      <c r="K48" s="42">
        <v>0</v>
      </c>
      <c r="L48" s="42">
        <v>0</v>
      </c>
      <c r="M48" s="42">
        <v>0</v>
      </c>
      <c r="N48" s="37"/>
      <c r="O48" s="37"/>
      <c r="P48" s="37"/>
      <c r="Q48" s="37"/>
      <c r="R48" s="42">
        <v>91</v>
      </c>
      <c r="S48" s="44">
        <f t="shared" si="12"/>
        <v>0</v>
      </c>
      <c r="T48" s="33">
        <f t="shared" si="13"/>
        <v>2</v>
      </c>
      <c r="U48" s="33">
        <f t="shared" si="14"/>
        <v>1.3</v>
      </c>
    </row>
    <row r="49" spans="1:21" s="3" customFormat="1" ht="17.25" x14ac:dyDescent="0.25">
      <c r="A49" s="22">
        <f t="shared" si="26"/>
        <v>10</v>
      </c>
      <c r="B49" s="23" t="s">
        <v>40</v>
      </c>
      <c r="C49" s="24">
        <f t="shared" ref="C49" si="28">SUM(D49:E49)</f>
        <v>1885</v>
      </c>
      <c r="D49" s="25">
        <f t="shared" si="25"/>
        <v>1885</v>
      </c>
      <c r="E49" s="25">
        <f t="shared" si="27"/>
        <v>0</v>
      </c>
      <c r="F49" s="26">
        <v>266</v>
      </c>
      <c r="G49" s="26">
        <v>0</v>
      </c>
      <c r="H49" s="26">
        <v>2</v>
      </c>
      <c r="I49" s="26"/>
      <c r="J49" s="42">
        <v>859</v>
      </c>
      <c r="K49" s="42">
        <v>0</v>
      </c>
      <c r="L49" s="42">
        <v>760</v>
      </c>
      <c r="M49" s="42">
        <v>0</v>
      </c>
      <c r="N49" s="37">
        <v>859</v>
      </c>
      <c r="O49" s="37"/>
      <c r="P49" s="37">
        <v>760</v>
      </c>
      <c r="Q49" s="37"/>
      <c r="R49" s="42">
        <v>1885</v>
      </c>
      <c r="S49" s="44">
        <f t="shared" si="12"/>
        <v>0</v>
      </c>
      <c r="T49" s="33">
        <f t="shared" si="13"/>
        <v>2</v>
      </c>
      <c r="U49" s="33">
        <f t="shared" si="14"/>
        <v>1.3</v>
      </c>
    </row>
    <row r="50" spans="1:21" x14ac:dyDescent="0.25">
      <c r="A50" s="159" t="s">
        <v>8</v>
      </c>
      <c r="B50" s="159"/>
      <c r="C50" s="20">
        <f t="shared" ref="C50:M50" si="29">SUM(C51:C56)</f>
        <v>1259</v>
      </c>
      <c r="D50" s="20">
        <f t="shared" si="29"/>
        <v>1254</v>
      </c>
      <c r="E50" s="20">
        <f t="shared" si="29"/>
        <v>5</v>
      </c>
      <c r="F50" s="20">
        <f t="shared" si="29"/>
        <v>295</v>
      </c>
      <c r="G50" s="20">
        <f t="shared" si="29"/>
        <v>4</v>
      </c>
      <c r="H50" s="20">
        <f t="shared" si="29"/>
        <v>10</v>
      </c>
      <c r="I50" s="20">
        <f t="shared" si="29"/>
        <v>0</v>
      </c>
      <c r="J50" s="20">
        <f t="shared" si="29"/>
        <v>752</v>
      </c>
      <c r="K50" s="20">
        <f t="shared" si="29"/>
        <v>5</v>
      </c>
      <c r="L50" s="20">
        <f t="shared" si="29"/>
        <v>207</v>
      </c>
      <c r="M50" s="20">
        <f t="shared" si="29"/>
        <v>0</v>
      </c>
      <c r="N50" s="20">
        <f>SUM(N52:N56)</f>
        <v>741</v>
      </c>
      <c r="O50" s="20">
        <f>SUM(O52:O56)</f>
        <v>0</v>
      </c>
      <c r="P50" s="20">
        <f>SUM(P52:P56)</f>
        <v>207</v>
      </c>
      <c r="Q50" s="20">
        <f>SUM(Q52:Q56)</f>
        <v>0</v>
      </c>
      <c r="R50" s="20">
        <f t="shared" ref="R50:S50" si="30">SUM(R51:R56)</f>
        <v>1138.5</v>
      </c>
      <c r="S50" s="48">
        <f t="shared" si="30"/>
        <v>-120.5</v>
      </c>
      <c r="T50" s="33">
        <f t="shared" si="13"/>
        <v>14</v>
      </c>
      <c r="U50" s="33">
        <f t="shared" si="14"/>
        <v>9.1000000000000014</v>
      </c>
    </row>
    <row r="51" spans="1:21" s="3" customFormat="1" ht="17.25" x14ac:dyDescent="0.25">
      <c r="A51" s="22">
        <v>1</v>
      </c>
      <c r="B51" s="23" t="s">
        <v>51</v>
      </c>
      <c r="C51" s="24">
        <f t="shared" ref="C51:C56" si="31">SUM(D51:E51)</f>
        <v>31</v>
      </c>
      <c r="D51" s="25">
        <f t="shared" ref="D51:D56" si="32">SUM(F51,J51,L51)</f>
        <v>26</v>
      </c>
      <c r="E51" s="25">
        <f t="shared" ref="E51:E85" si="33">SUM(I51,K51,M51)</f>
        <v>5</v>
      </c>
      <c r="F51" s="26">
        <v>15</v>
      </c>
      <c r="G51" s="26">
        <v>1</v>
      </c>
      <c r="H51" s="26">
        <v>1</v>
      </c>
      <c r="I51" s="26"/>
      <c r="J51" s="42">
        <v>11</v>
      </c>
      <c r="K51" s="42">
        <v>5</v>
      </c>
      <c r="L51" s="42">
        <v>0</v>
      </c>
      <c r="M51" s="42">
        <v>0</v>
      </c>
      <c r="N51" s="37">
        <v>11</v>
      </c>
      <c r="O51" s="37">
        <v>5</v>
      </c>
      <c r="P51" s="37">
        <v>0</v>
      </c>
      <c r="Q51" s="37">
        <v>0</v>
      </c>
      <c r="R51" s="42">
        <v>31</v>
      </c>
      <c r="S51" s="44">
        <f t="shared" si="12"/>
        <v>0</v>
      </c>
      <c r="T51" s="33">
        <f t="shared" si="13"/>
        <v>2</v>
      </c>
      <c r="U51" s="33">
        <f t="shared" si="14"/>
        <v>1.3</v>
      </c>
    </row>
    <row r="52" spans="1:21" s="3" customFormat="1" ht="17.25" x14ac:dyDescent="0.25">
      <c r="A52" s="22">
        <f>+A51+1</f>
        <v>2</v>
      </c>
      <c r="B52" s="23" t="s">
        <v>47</v>
      </c>
      <c r="C52" s="24">
        <f t="shared" si="31"/>
        <v>413</v>
      </c>
      <c r="D52" s="25">
        <f t="shared" si="32"/>
        <v>413</v>
      </c>
      <c r="E52" s="25">
        <f t="shared" si="33"/>
        <v>0</v>
      </c>
      <c r="F52" s="26">
        <v>108</v>
      </c>
      <c r="G52" s="26">
        <v>1</v>
      </c>
      <c r="H52" s="26">
        <v>2</v>
      </c>
      <c r="I52" s="26"/>
      <c r="J52" s="42">
        <v>305</v>
      </c>
      <c r="K52" s="42">
        <v>0</v>
      </c>
      <c r="L52" s="42">
        <v>0</v>
      </c>
      <c r="M52" s="42">
        <v>0</v>
      </c>
      <c r="N52" s="37">
        <v>305</v>
      </c>
      <c r="O52" s="37">
        <v>0</v>
      </c>
      <c r="P52" s="37">
        <v>0</v>
      </c>
      <c r="Q52" s="37">
        <v>0</v>
      </c>
      <c r="R52" s="42">
        <f>+C52-(C52*0.1)</f>
        <v>371.7</v>
      </c>
      <c r="S52" s="44">
        <f t="shared" si="12"/>
        <v>-41.300000000000011</v>
      </c>
      <c r="T52" s="33">
        <f t="shared" si="13"/>
        <v>3</v>
      </c>
      <c r="U52" s="33">
        <f t="shared" si="14"/>
        <v>1.9500000000000002</v>
      </c>
    </row>
    <row r="53" spans="1:21" s="3" customFormat="1" ht="17.25" x14ac:dyDescent="0.25">
      <c r="A53" s="22">
        <f t="shared" ref="A53:A56" si="34">+A52+1</f>
        <v>3</v>
      </c>
      <c r="B53" s="23" t="s">
        <v>48</v>
      </c>
      <c r="C53" s="24">
        <f t="shared" si="31"/>
        <v>324</v>
      </c>
      <c r="D53" s="25">
        <f t="shared" si="32"/>
        <v>324</v>
      </c>
      <c r="E53" s="25">
        <f t="shared" si="33"/>
        <v>0</v>
      </c>
      <c r="F53" s="26">
        <v>68</v>
      </c>
      <c r="G53" s="26">
        <v>1</v>
      </c>
      <c r="H53" s="26">
        <v>2</v>
      </c>
      <c r="I53" s="26"/>
      <c r="J53" s="42">
        <v>49</v>
      </c>
      <c r="K53" s="42">
        <v>0</v>
      </c>
      <c r="L53" s="42">
        <v>207</v>
      </c>
      <c r="M53" s="42">
        <v>0</v>
      </c>
      <c r="N53" s="37">
        <v>49</v>
      </c>
      <c r="O53" s="37"/>
      <c r="P53" s="37">
        <v>207</v>
      </c>
      <c r="Q53" s="37"/>
      <c r="R53" s="42">
        <f>+C53-(C53*0.1)</f>
        <v>291.60000000000002</v>
      </c>
      <c r="S53" s="44">
        <f t="shared" si="12"/>
        <v>-32.399999999999977</v>
      </c>
      <c r="T53" s="33">
        <f t="shared" si="13"/>
        <v>3</v>
      </c>
      <c r="U53" s="33">
        <f t="shared" si="14"/>
        <v>1.9500000000000002</v>
      </c>
    </row>
    <row r="54" spans="1:21" s="3" customFormat="1" ht="31.5" x14ac:dyDescent="0.25">
      <c r="A54" s="22">
        <f t="shared" si="34"/>
        <v>4</v>
      </c>
      <c r="B54" s="23" t="s">
        <v>50</v>
      </c>
      <c r="C54" s="24">
        <f t="shared" si="31"/>
        <v>23</v>
      </c>
      <c r="D54" s="25">
        <f t="shared" si="32"/>
        <v>23</v>
      </c>
      <c r="E54" s="25">
        <f t="shared" si="33"/>
        <v>0</v>
      </c>
      <c r="F54" s="26">
        <v>23</v>
      </c>
      <c r="G54" s="26">
        <v>0</v>
      </c>
      <c r="H54" s="26">
        <v>2</v>
      </c>
      <c r="I54" s="26"/>
      <c r="J54" s="42">
        <v>0</v>
      </c>
      <c r="K54" s="42">
        <v>0</v>
      </c>
      <c r="L54" s="42">
        <v>0</v>
      </c>
      <c r="M54" s="42">
        <v>0</v>
      </c>
      <c r="N54" s="37"/>
      <c r="O54" s="37"/>
      <c r="P54" s="37"/>
      <c r="Q54" s="37"/>
      <c r="R54" s="42">
        <v>23</v>
      </c>
      <c r="S54" s="44">
        <f t="shared" si="12"/>
        <v>0</v>
      </c>
      <c r="T54" s="33">
        <f t="shared" si="13"/>
        <v>2</v>
      </c>
      <c r="U54" s="33">
        <f t="shared" si="14"/>
        <v>1.3</v>
      </c>
    </row>
    <row r="55" spans="1:21" s="6" customFormat="1" ht="31.5" x14ac:dyDescent="0.25">
      <c r="A55" s="22">
        <f t="shared" si="34"/>
        <v>5</v>
      </c>
      <c r="B55" s="27" t="s">
        <v>49</v>
      </c>
      <c r="C55" s="28"/>
      <c r="D55" s="29"/>
      <c r="E55" s="29"/>
      <c r="F55" s="30"/>
      <c r="G55" s="30"/>
      <c r="H55" s="30"/>
      <c r="I55" s="30"/>
      <c r="J55" s="43"/>
      <c r="K55" s="43"/>
      <c r="L55" s="43"/>
      <c r="M55" s="43"/>
      <c r="N55" s="39"/>
      <c r="O55" s="39"/>
      <c r="P55" s="39"/>
      <c r="Q55" s="39"/>
      <c r="R55" s="43"/>
      <c r="S55" s="49"/>
      <c r="T55" s="33">
        <f t="shared" si="13"/>
        <v>0</v>
      </c>
      <c r="U55" s="33">
        <f t="shared" si="14"/>
        <v>0</v>
      </c>
    </row>
    <row r="56" spans="1:21" s="3" customFormat="1" ht="17.25" x14ac:dyDescent="0.25">
      <c r="A56" s="22">
        <f t="shared" si="34"/>
        <v>6</v>
      </c>
      <c r="B56" s="23" t="s">
        <v>52</v>
      </c>
      <c r="C56" s="24">
        <f t="shared" si="31"/>
        <v>468</v>
      </c>
      <c r="D56" s="25">
        <f t="shared" si="32"/>
        <v>468</v>
      </c>
      <c r="E56" s="25">
        <f t="shared" si="33"/>
        <v>0</v>
      </c>
      <c r="F56" s="26">
        <v>81</v>
      </c>
      <c r="G56" s="26">
        <v>1</v>
      </c>
      <c r="H56" s="26">
        <v>3</v>
      </c>
      <c r="I56" s="26"/>
      <c r="J56" s="42">
        <v>387</v>
      </c>
      <c r="K56" s="42">
        <v>0</v>
      </c>
      <c r="L56" s="42">
        <v>0</v>
      </c>
      <c r="M56" s="42">
        <v>0</v>
      </c>
      <c r="N56" s="37">
        <v>387</v>
      </c>
      <c r="O56" s="37"/>
      <c r="P56" s="37"/>
      <c r="Q56" s="37"/>
      <c r="R56" s="42">
        <f>+C56-(C56*0.1)</f>
        <v>421.2</v>
      </c>
      <c r="S56" s="44">
        <f t="shared" si="12"/>
        <v>-46.800000000000011</v>
      </c>
      <c r="T56" s="33">
        <f t="shared" si="13"/>
        <v>4</v>
      </c>
      <c r="U56" s="33">
        <f t="shared" si="14"/>
        <v>2.6</v>
      </c>
    </row>
    <row r="57" spans="1:21" ht="17.25" x14ac:dyDescent="0.25">
      <c r="A57" s="156" t="s">
        <v>105</v>
      </c>
      <c r="B57" s="156"/>
      <c r="C57" s="19">
        <f t="shared" ref="C57:S57" si="35">SUM(C58:C85)</f>
        <v>27737</v>
      </c>
      <c r="D57" s="19">
        <f t="shared" si="35"/>
        <v>24752</v>
      </c>
      <c r="E57" s="19">
        <f t="shared" si="35"/>
        <v>2985</v>
      </c>
      <c r="F57" s="19">
        <f t="shared" si="35"/>
        <v>1516</v>
      </c>
      <c r="G57" s="19">
        <f t="shared" si="35"/>
        <v>22</v>
      </c>
      <c r="H57" s="19">
        <f t="shared" si="35"/>
        <v>37</v>
      </c>
      <c r="I57" s="19">
        <f t="shared" si="35"/>
        <v>191</v>
      </c>
      <c r="J57" s="19">
        <f t="shared" si="35"/>
        <v>2014</v>
      </c>
      <c r="K57" s="19">
        <f t="shared" si="35"/>
        <v>758</v>
      </c>
      <c r="L57" s="19">
        <f t="shared" si="35"/>
        <v>21222</v>
      </c>
      <c r="M57" s="19">
        <f t="shared" si="35"/>
        <v>2036</v>
      </c>
      <c r="N57" s="9">
        <f t="shared" si="35"/>
        <v>1686</v>
      </c>
      <c r="O57" s="9">
        <f t="shared" si="35"/>
        <v>758</v>
      </c>
      <c r="P57" s="9">
        <f t="shared" si="35"/>
        <v>2604</v>
      </c>
      <c r="Q57" s="9">
        <f t="shared" si="35"/>
        <v>2036</v>
      </c>
      <c r="R57" s="19">
        <f t="shared" si="35"/>
        <v>26581.95</v>
      </c>
      <c r="S57" s="46">
        <f t="shared" si="35"/>
        <v>-1155.0499999999997</v>
      </c>
      <c r="T57" s="33">
        <f t="shared" si="13"/>
        <v>59</v>
      </c>
      <c r="U57" s="33">
        <f t="shared" si="14"/>
        <v>38.35</v>
      </c>
    </row>
    <row r="58" spans="1:21" s="7" customFormat="1" ht="17.25" x14ac:dyDescent="0.25">
      <c r="A58" s="22">
        <v>1</v>
      </c>
      <c r="B58" s="23" t="s">
        <v>55</v>
      </c>
      <c r="C58" s="24">
        <f t="shared" ref="C58:C85" si="36">SUM(D58:E58)</f>
        <v>473</v>
      </c>
      <c r="D58" s="25">
        <f t="shared" ref="D58:D85" si="37">SUM(F58,J58,L58)</f>
        <v>473</v>
      </c>
      <c r="E58" s="25">
        <f t="shared" ref="E58:E74" si="38">SUM(I58,K58,M58)</f>
        <v>0</v>
      </c>
      <c r="F58" s="26">
        <v>145</v>
      </c>
      <c r="G58" s="26">
        <v>1</v>
      </c>
      <c r="H58" s="26">
        <v>3</v>
      </c>
      <c r="I58" s="26"/>
      <c r="J58" s="42">
        <v>328</v>
      </c>
      <c r="K58" s="42">
        <v>0</v>
      </c>
      <c r="L58" s="42">
        <v>0</v>
      </c>
      <c r="M58" s="42">
        <v>0</v>
      </c>
      <c r="N58" s="37"/>
      <c r="O58" s="37"/>
      <c r="P58" s="37"/>
      <c r="Q58" s="37"/>
      <c r="R58" s="42">
        <f>+C58-(C58*0.15)</f>
        <v>402.05</v>
      </c>
      <c r="S58" s="44">
        <f t="shared" si="12"/>
        <v>-70.949999999999989</v>
      </c>
      <c r="T58" s="33">
        <f t="shared" si="13"/>
        <v>4</v>
      </c>
      <c r="U58" s="33">
        <f t="shared" si="14"/>
        <v>2.6</v>
      </c>
    </row>
    <row r="59" spans="1:21" s="3" customFormat="1" ht="31.5" x14ac:dyDescent="0.25">
      <c r="A59" s="22">
        <f>+A58+1</f>
        <v>2</v>
      </c>
      <c r="B59" s="23" t="s">
        <v>56</v>
      </c>
      <c r="C59" s="24">
        <f t="shared" si="36"/>
        <v>57</v>
      </c>
      <c r="D59" s="25">
        <f t="shared" si="37"/>
        <v>57</v>
      </c>
      <c r="E59" s="25">
        <f t="shared" si="38"/>
        <v>0</v>
      </c>
      <c r="F59" s="26">
        <v>57</v>
      </c>
      <c r="G59" s="26">
        <v>1</v>
      </c>
      <c r="H59" s="26">
        <v>2</v>
      </c>
      <c r="I59" s="26"/>
      <c r="J59" s="42">
        <v>0</v>
      </c>
      <c r="K59" s="42">
        <v>0</v>
      </c>
      <c r="L59" s="42">
        <v>0</v>
      </c>
      <c r="M59" s="42">
        <v>0</v>
      </c>
      <c r="N59" s="37"/>
      <c r="O59" s="37"/>
      <c r="P59" s="37"/>
      <c r="Q59" s="37"/>
      <c r="R59" s="42">
        <v>57</v>
      </c>
      <c r="S59" s="44">
        <f t="shared" si="12"/>
        <v>0</v>
      </c>
      <c r="T59" s="33">
        <f t="shared" si="13"/>
        <v>3</v>
      </c>
      <c r="U59" s="33">
        <f t="shared" si="14"/>
        <v>1.9500000000000002</v>
      </c>
    </row>
    <row r="60" spans="1:21" s="3" customFormat="1" ht="17.25" x14ac:dyDescent="0.25">
      <c r="A60" s="22">
        <f t="shared" ref="A60:A85" si="39">+A59+1</f>
        <v>3</v>
      </c>
      <c r="B60" s="23" t="s">
        <v>64</v>
      </c>
      <c r="C60" s="24">
        <f t="shared" si="36"/>
        <v>2818</v>
      </c>
      <c r="D60" s="25">
        <f t="shared" si="37"/>
        <v>474</v>
      </c>
      <c r="E60" s="25">
        <f t="shared" si="38"/>
        <v>2344</v>
      </c>
      <c r="F60" s="26">
        <v>116</v>
      </c>
      <c r="G60" s="26">
        <v>1</v>
      </c>
      <c r="H60" s="26">
        <v>2</v>
      </c>
      <c r="I60" s="26"/>
      <c r="J60" s="42">
        <v>358</v>
      </c>
      <c r="K60" s="42">
        <v>744</v>
      </c>
      <c r="L60" s="42">
        <v>0</v>
      </c>
      <c r="M60" s="42">
        <v>1600</v>
      </c>
      <c r="N60" s="37">
        <v>358</v>
      </c>
      <c r="O60" s="37">
        <v>744</v>
      </c>
      <c r="P60" s="37">
        <v>0</v>
      </c>
      <c r="Q60" s="37">
        <v>1600</v>
      </c>
      <c r="R60" s="42">
        <f>+C60-(C60*0.15)</f>
        <v>2395.3000000000002</v>
      </c>
      <c r="S60" s="44">
        <f t="shared" si="12"/>
        <v>-422.69999999999982</v>
      </c>
      <c r="T60" s="33">
        <f t="shared" si="13"/>
        <v>3</v>
      </c>
      <c r="U60" s="33">
        <f t="shared" si="14"/>
        <v>1.9500000000000002</v>
      </c>
    </row>
    <row r="61" spans="1:21" s="3" customFormat="1" ht="17.25" x14ac:dyDescent="0.25">
      <c r="A61" s="22">
        <f t="shared" si="39"/>
        <v>4</v>
      </c>
      <c r="B61" s="23" t="s">
        <v>73</v>
      </c>
      <c r="C61" s="24">
        <f t="shared" si="36"/>
        <v>805</v>
      </c>
      <c r="D61" s="25">
        <f t="shared" si="37"/>
        <v>356</v>
      </c>
      <c r="E61" s="25">
        <f t="shared" si="38"/>
        <v>449</v>
      </c>
      <c r="F61" s="26">
        <v>38</v>
      </c>
      <c r="G61" s="26">
        <v>1</v>
      </c>
      <c r="H61" s="26">
        <v>1</v>
      </c>
      <c r="I61" s="26">
        <v>13</v>
      </c>
      <c r="J61" s="42">
        <v>112</v>
      </c>
      <c r="K61" s="42">
        <v>0</v>
      </c>
      <c r="L61" s="42">
        <v>206</v>
      </c>
      <c r="M61" s="42">
        <v>436</v>
      </c>
      <c r="N61" s="37">
        <v>112</v>
      </c>
      <c r="O61" s="37">
        <v>0</v>
      </c>
      <c r="P61" s="37">
        <v>206</v>
      </c>
      <c r="Q61" s="37">
        <v>436</v>
      </c>
      <c r="R61" s="42">
        <f>+C61-(C61*0.15)</f>
        <v>684.25</v>
      </c>
      <c r="S61" s="44">
        <f t="shared" si="12"/>
        <v>-120.75</v>
      </c>
      <c r="T61" s="33">
        <f t="shared" si="13"/>
        <v>2</v>
      </c>
      <c r="U61" s="33">
        <f t="shared" si="14"/>
        <v>1.3</v>
      </c>
    </row>
    <row r="62" spans="1:21" s="3" customFormat="1" ht="17.25" x14ac:dyDescent="0.25">
      <c r="A62" s="22">
        <f t="shared" si="39"/>
        <v>5</v>
      </c>
      <c r="B62" s="23" t="s">
        <v>71</v>
      </c>
      <c r="C62" s="24">
        <f t="shared" si="36"/>
        <v>10659</v>
      </c>
      <c r="D62" s="25">
        <f t="shared" si="37"/>
        <v>10659</v>
      </c>
      <c r="E62" s="25">
        <f t="shared" si="38"/>
        <v>0</v>
      </c>
      <c r="F62" s="26">
        <v>71</v>
      </c>
      <c r="G62" s="26">
        <v>1</v>
      </c>
      <c r="H62" s="26">
        <v>2</v>
      </c>
      <c r="I62" s="26"/>
      <c r="J62" s="42">
        <v>210</v>
      </c>
      <c r="K62" s="42">
        <v>0</v>
      </c>
      <c r="L62" s="42">
        <f>1069+9309</f>
        <v>10378</v>
      </c>
      <c r="M62" s="42">
        <v>0</v>
      </c>
      <c r="N62" s="37">
        <v>210</v>
      </c>
      <c r="O62" s="37">
        <v>0</v>
      </c>
      <c r="P62" s="37">
        <f>10442-9373</f>
        <v>1069</v>
      </c>
      <c r="Q62" s="37"/>
      <c r="R62" s="42">
        <f>+C62-203</f>
        <v>10456</v>
      </c>
      <c r="S62" s="44">
        <f t="shared" si="12"/>
        <v>-203</v>
      </c>
      <c r="T62" s="33">
        <f t="shared" si="13"/>
        <v>3</v>
      </c>
      <c r="U62" s="33">
        <f t="shared" si="14"/>
        <v>1.9500000000000002</v>
      </c>
    </row>
    <row r="63" spans="1:21" s="3" customFormat="1" ht="17.25" x14ac:dyDescent="0.25">
      <c r="A63" s="22">
        <f t="shared" si="39"/>
        <v>6</v>
      </c>
      <c r="B63" s="23" t="s">
        <v>74</v>
      </c>
      <c r="C63" s="24">
        <f t="shared" si="36"/>
        <v>90</v>
      </c>
      <c r="D63" s="25">
        <f t="shared" si="37"/>
        <v>73</v>
      </c>
      <c r="E63" s="25">
        <f t="shared" si="38"/>
        <v>17</v>
      </c>
      <c r="F63" s="26">
        <v>30</v>
      </c>
      <c r="G63" s="26">
        <v>1</v>
      </c>
      <c r="H63" s="26">
        <v>0</v>
      </c>
      <c r="I63" s="26">
        <v>3</v>
      </c>
      <c r="J63" s="42">
        <v>43</v>
      </c>
      <c r="K63" s="42">
        <v>14</v>
      </c>
      <c r="L63" s="42">
        <v>0</v>
      </c>
      <c r="M63" s="42">
        <v>0</v>
      </c>
      <c r="N63" s="37">
        <v>43</v>
      </c>
      <c r="O63" s="37">
        <v>14</v>
      </c>
      <c r="P63" s="37">
        <v>0</v>
      </c>
      <c r="Q63" s="37">
        <v>0</v>
      </c>
      <c r="R63" s="42">
        <v>90</v>
      </c>
      <c r="S63" s="44">
        <f t="shared" si="12"/>
        <v>0</v>
      </c>
      <c r="T63" s="33">
        <f t="shared" si="13"/>
        <v>1</v>
      </c>
      <c r="U63" s="33">
        <f t="shared" si="14"/>
        <v>0.65</v>
      </c>
    </row>
    <row r="64" spans="1:21" s="3" customFormat="1" ht="17.25" x14ac:dyDescent="0.25">
      <c r="A64" s="22">
        <f t="shared" si="39"/>
        <v>7</v>
      </c>
      <c r="B64" s="23" t="s">
        <v>69</v>
      </c>
      <c r="C64" s="24">
        <f t="shared" si="36"/>
        <v>70</v>
      </c>
      <c r="D64" s="25">
        <f t="shared" si="37"/>
        <v>70</v>
      </c>
      <c r="E64" s="25">
        <f t="shared" si="38"/>
        <v>0</v>
      </c>
      <c r="F64" s="26">
        <v>20</v>
      </c>
      <c r="G64" s="26">
        <v>0</v>
      </c>
      <c r="H64" s="26">
        <v>2</v>
      </c>
      <c r="I64" s="26"/>
      <c r="J64" s="42">
        <v>50</v>
      </c>
      <c r="K64" s="42">
        <v>0</v>
      </c>
      <c r="L64" s="42">
        <v>0</v>
      </c>
      <c r="M64" s="42">
        <v>0</v>
      </c>
      <c r="N64" s="37">
        <v>50</v>
      </c>
      <c r="O64" s="37"/>
      <c r="P64" s="37"/>
      <c r="Q64" s="37"/>
      <c r="R64" s="42">
        <v>70</v>
      </c>
      <c r="S64" s="44">
        <f t="shared" si="12"/>
        <v>0</v>
      </c>
      <c r="T64" s="33">
        <f t="shared" si="13"/>
        <v>2</v>
      </c>
      <c r="U64" s="33">
        <f t="shared" si="14"/>
        <v>1.3</v>
      </c>
    </row>
    <row r="65" spans="1:21" s="3" customFormat="1" ht="17.25" x14ac:dyDescent="0.25">
      <c r="A65" s="22">
        <f t="shared" si="39"/>
        <v>8</v>
      </c>
      <c r="B65" s="23" t="s">
        <v>9</v>
      </c>
      <c r="C65" s="24">
        <f t="shared" si="36"/>
        <v>132</v>
      </c>
      <c r="D65" s="25">
        <f t="shared" si="37"/>
        <v>132</v>
      </c>
      <c r="E65" s="25">
        <f t="shared" si="38"/>
        <v>0</v>
      </c>
      <c r="F65" s="26">
        <v>80</v>
      </c>
      <c r="G65" s="26">
        <v>1</v>
      </c>
      <c r="H65" s="26">
        <v>2</v>
      </c>
      <c r="I65" s="26"/>
      <c r="J65" s="42">
        <v>52</v>
      </c>
      <c r="K65" s="42">
        <v>0</v>
      </c>
      <c r="L65" s="42">
        <v>0</v>
      </c>
      <c r="M65" s="42">
        <v>0</v>
      </c>
      <c r="N65" s="37">
        <v>52</v>
      </c>
      <c r="O65" s="37">
        <v>0</v>
      </c>
      <c r="P65" s="37">
        <v>0</v>
      </c>
      <c r="Q65" s="37">
        <v>0</v>
      </c>
      <c r="R65" s="42">
        <f>+C65-(C65*0.1)</f>
        <v>118.8</v>
      </c>
      <c r="S65" s="44">
        <f t="shared" si="12"/>
        <v>-13.200000000000003</v>
      </c>
      <c r="T65" s="33">
        <f t="shared" si="13"/>
        <v>3</v>
      </c>
      <c r="U65" s="33">
        <f t="shared" si="14"/>
        <v>1.9500000000000002</v>
      </c>
    </row>
    <row r="66" spans="1:21" s="3" customFormat="1" ht="31.5" x14ac:dyDescent="0.25">
      <c r="A66" s="22">
        <f t="shared" si="39"/>
        <v>9</v>
      </c>
      <c r="B66" s="23" t="s">
        <v>70</v>
      </c>
      <c r="C66" s="24">
        <f t="shared" si="36"/>
        <v>73</v>
      </c>
      <c r="D66" s="25">
        <f t="shared" si="37"/>
        <v>73</v>
      </c>
      <c r="E66" s="25">
        <f t="shared" si="38"/>
        <v>0</v>
      </c>
      <c r="F66" s="26">
        <v>31</v>
      </c>
      <c r="G66" s="26">
        <v>0</v>
      </c>
      <c r="H66" s="26">
        <v>2</v>
      </c>
      <c r="I66" s="26"/>
      <c r="J66" s="42">
        <v>42</v>
      </c>
      <c r="K66" s="42">
        <v>0</v>
      </c>
      <c r="L66" s="42">
        <v>0</v>
      </c>
      <c r="M66" s="42">
        <v>0</v>
      </c>
      <c r="N66" s="37">
        <v>42</v>
      </c>
      <c r="O66" s="37"/>
      <c r="P66" s="37"/>
      <c r="Q66" s="37"/>
      <c r="R66" s="42">
        <v>73</v>
      </c>
      <c r="S66" s="44">
        <f t="shared" si="12"/>
        <v>0</v>
      </c>
      <c r="T66" s="33">
        <f t="shared" si="13"/>
        <v>2</v>
      </c>
      <c r="U66" s="33">
        <f t="shared" si="14"/>
        <v>1.3</v>
      </c>
    </row>
    <row r="67" spans="1:21" s="3" customFormat="1" ht="31.5" x14ac:dyDescent="0.25">
      <c r="A67" s="22">
        <f t="shared" si="39"/>
        <v>10</v>
      </c>
      <c r="B67" s="23" t="s">
        <v>53</v>
      </c>
      <c r="C67" s="24">
        <f t="shared" si="36"/>
        <v>31</v>
      </c>
      <c r="D67" s="25">
        <f t="shared" si="37"/>
        <v>31</v>
      </c>
      <c r="E67" s="25">
        <f t="shared" si="38"/>
        <v>0</v>
      </c>
      <c r="F67" s="26">
        <v>31</v>
      </c>
      <c r="G67" s="26">
        <v>1</v>
      </c>
      <c r="H67" s="26">
        <v>1</v>
      </c>
      <c r="I67" s="26"/>
      <c r="J67" s="42">
        <v>0</v>
      </c>
      <c r="K67" s="42">
        <v>0</v>
      </c>
      <c r="L67" s="42">
        <v>0</v>
      </c>
      <c r="M67" s="42">
        <v>0</v>
      </c>
      <c r="N67" s="37"/>
      <c r="O67" s="37"/>
      <c r="P67" s="37"/>
      <c r="Q67" s="37"/>
      <c r="R67" s="42">
        <v>31</v>
      </c>
      <c r="S67" s="44">
        <f t="shared" si="12"/>
        <v>0</v>
      </c>
      <c r="T67" s="33">
        <f t="shared" si="13"/>
        <v>2</v>
      </c>
      <c r="U67" s="33">
        <f t="shared" si="14"/>
        <v>1.3</v>
      </c>
    </row>
    <row r="68" spans="1:21" s="3" customFormat="1" ht="17.25" x14ac:dyDescent="0.25">
      <c r="A68" s="22">
        <f t="shared" si="39"/>
        <v>11</v>
      </c>
      <c r="B68" s="23" t="s">
        <v>72</v>
      </c>
      <c r="C68" s="24">
        <f t="shared" si="36"/>
        <v>25</v>
      </c>
      <c r="D68" s="25">
        <f t="shared" si="37"/>
        <v>25</v>
      </c>
      <c r="E68" s="25">
        <f t="shared" si="38"/>
        <v>0</v>
      </c>
      <c r="F68" s="26">
        <v>25</v>
      </c>
      <c r="G68" s="26">
        <v>0</v>
      </c>
      <c r="H68" s="26">
        <v>0</v>
      </c>
      <c r="I68" s="26"/>
      <c r="J68" s="42">
        <v>0</v>
      </c>
      <c r="K68" s="42">
        <v>0</v>
      </c>
      <c r="L68" s="42">
        <v>0</v>
      </c>
      <c r="M68" s="42">
        <v>0</v>
      </c>
      <c r="N68" s="37"/>
      <c r="O68" s="37"/>
      <c r="P68" s="37"/>
      <c r="Q68" s="37"/>
      <c r="R68" s="42">
        <v>25</v>
      </c>
      <c r="S68" s="44">
        <f t="shared" si="12"/>
        <v>0</v>
      </c>
      <c r="T68" s="33">
        <f t="shared" si="13"/>
        <v>0</v>
      </c>
      <c r="U68" s="33">
        <f t="shared" si="14"/>
        <v>0</v>
      </c>
    </row>
    <row r="69" spans="1:21" s="3" customFormat="1" ht="17.25" x14ac:dyDescent="0.25">
      <c r="A69" s="22">
        <f t="shared" si="39"/>
        <v>12</v>
      </c>
      <c r="B69" s="23" t="s">
        <v>10</v>
      </c>
      <c r="C69" s="24">
        <f t="shared" si="36"/>
        <v>155</v>
      </c>
      <c r="D69" s="25">
        <f t="shared" si="37"/>
        <v>13</v>
      </c>
      <c r="E69" s="25">
        <f t="shared" si="38"/>
        <v>142</v>
      </c>
      <c r="F69" s="26">
        <v>13</v>
      </c>
      <c r="G69" s="26">
        <v>1</v>
      </c>
      <c r="H69" s="26">
        <v>1</v>
      </c>
      <c r="I69" s="26">
        <v>142</v>
      </c>
      <c r="J69" s="42">
        <v>0</v>
      </c>
      <c r="K69" s="42">
        <v>0</v>
      </c>
      <c r="L69" s="42">
        <v>0</v>
      </c>
      <c r="M69" s="42">
        <v>0</v>
      </c>
      <c r="N69" s="37"/>
      <c r="O69" s="37"/>
      <c r="P69" s="37"/>
      <c r="Q69" s="37"/>
      <c r="R69" s="42">
        <f>+C69-(C69*0.1)</f>
        <v>139.5</v>
      </c>
      <c r="S69" s="44">
        <f t="shared" si="12"/>
        <v>-15.5</v>
      </c>
      <c r="T69" s="33">
        <f t="shared" si="13"/>
        <v>2</v>
      </c>
      <c r="U69" s="33">
        <f t="shared" si="14"/>
        <v>1.3</v>
      </c>
    </row>
    <row r="70" spans="1:21" s="3" customFormat="1" ht="31.5" x14ac:dyDescent="0.25">
      <c r="A70" s="22">
        <f t="shared" si="39"/>
        <v>13</v>
      </c>
      <c r="B70" s="23" t="s">
        <v>60</v>
      </c>
      <c r="C70" s="24">
        <f t="shared" si="36"/>
        <v>29</v>
      </c>
      <c r="D70" s="25">
        <f t="shared" si="37"/>
        <v>29</v>
      </c>
      <c r="E70" s="25">
        <f t="shared" si="38"/>
        <v>0</v>
      </c>
      <c r="F70" s="26">
        <v>29</v>
      </c>
      <c r="G70" s="26">
        <v>1</v>
      </c>
      <c r="H70" s="26">
        <v>2</v>
      </c>
      <c r="I70" s="26"/>
      <c r="J70" s="42">
        <v>0</v>
      </c>
      <c r="K70" s="42">
        <v>0</v>
      </c>
      <c r="L70" s="42">
        <v>0</v>
      </c>
      <c r="M70" s="42">
        <v>0</v>
      </c>
      <c r="N70" s="37"/>
      <c r="O70" s="37"/>
      <c r="P70" s="37"/>
      <c r="Q70" s="37"/>
      <c r="R70" s="42">
        <v>29</v>
      </c>
      <c r="S70" s="44">
        <f t="shared" si="12"/>
        <v>0</v>
      </c>
      <c r="T70" s="33">
        <f t="shared" si="13"/>
        <v>3</v>
      </c>
      <c r="U70" s="33">
        <f t="shared" si="14"/>
        <v>1.9500000000000002</v>
      </c>
    </row>
    <row r="71" spans="1:21" s="3" customFormat="1" ht="31.5" x14ac:dyDescent="0.25">
      <c r="A71" s="22">
        <f t="shared" si="39"/>
        <v>14</v>
      </c>
      <c r="B71" s="23" t="s">
        <v>61</v>
      </c>
      <c r="C71" s="24">
        <f t="shared" si="36"/>
        <v>28</v>
      </c>
      <c r="D71" s="25">
        <f t="shared" si="37"/>
        <v>28</v>
      </c>
      <c r="E71" s="25">
        <f t="shared" si="38"/>
        <v>0</v>
      </c>
      <c r="F71" s="26">
        <v>28</v>
      </c>
      <c r="G71" s="26">
        <v>0</v>
      </c>
      <c r="H71" s="26">
        <v>2</v>
      </c>
      <c r="I71" s="26"/>
      <c r="J71" s="42">
        <v>0</v>
      </c>
      <c r="K71" s="42">
        <v>0</v>
      </c>
      <c r="L71" s="42">
        <v>0</v>
      </c>
      <c r="M71" s="42">
        <v>0</v>
      </c>
      <c r="N71" s="37"/>
      <c r="O71" s="37"/>
      <c r="P71" s="37"/>
      <c r="Q71" s="37"/>
      <c r="R71" s="42">
        <v>28</v>
      </c>
      <c r="S71" s="44">
        <f t="shared" si="12"/>
        <v>0</v>
      </c>
      <c r="T71" s="33">
        <f t="shared" si="13"/>
        <v>2</v>
      </c>
      <c r="U71" s="33">
        <f t="shared" si="14"/>
        <v>1.3</v>
      </c>
    </row>
    <row r="72" spans="1:21" s="7" customFormat="1" ht="31.5" x14ac:dyDescent="0.25">
      <c r="A72" s="22">
        <f t="shared" si="39"/>
        <v>15</v>
      </c>
      <c r="B72" s="23" t="s">
        <v>12</v>
      </c>
      <c r="C72" s="24">
        <f t="shared" si="36"/>
        <v>37</v>
      </c>
      <c r="D72" s="25">
        <f t="shared" si="37"/>
        <v>37</v>
      </c>
      <c r="E72" s="25">
        <f t="shared" si="38"/>
        <v>0</v>
      </c>
      <c r="F72" s="26">
        <v>37</v>
      </c>
      <c r="G72" s="26">
        <v>1</v>
      </c>
      <c r="H72" s="26">
        <v>1</v>
      </c>
      <c r="I72" s="26"/>
      <c r="J72" s="42"/>
      <c r="K72" s="42"/>
      <c r="L72" s="42"/>
      <c r="M72" s="42"/>
      <c r="N72" s="37"/>
      <c r="O72" s="37"/>
      <c r="P72" s="37"/>
      <c r="Q72" s="37"/>
      <c r="R72" s="42">
        <v>37</v>
      </c>
      <c r="S72" s="44">
        <f t="shared" si="12"/>
        <v>0</v>
      </c>
      <c r="T72" s="33">
        <f t="shared" si="13"/>
        <v>2</v>
      </c>
      <c r="U72" s="33">
        <f t="shared" si="14"/>
        <v>1.3</v>
      </c>
    </row>
    <row r="73" spans="1:21" s="3" customFormat="1" ht="31.5" x14ac:dyDescent="0.25">
      <c r="A73" s="22">
        <f t="shared" si="39"/>
        <v>16</v>
      </c>
      <c r="B73" s="23" t="s">
        <v>62</v>
      </c>
      <c r="C73" s="24">
        <f t="shared" si="36"/>
        <v>413</v>
      </c>
      <c r="D73" s="25">
        <f t="shared" si="37"/>
        <v>413</v>
      </c>
      <c r="E73" s="25">
        <f t="shared" si="38"/>
        <v>0</v>
      </c>
      <c r="F73" s="26">
        <v>32</v>
      </c>
      <c r="G73" s="26">
        <v>0</v>
      </c>
      <c r="H73" s="26">
        <v>2</v>
      </c>
      <c r="I73" s="26"/>
      <c r="J73" s="42">
        <v>58</v>
      </c>
      <c r="K73" s="42">
        <v>0</v>
      </c>
      <c r="L73" s="42">
        <v>323</v>
      </c>
      <c r="M73" s="42">
        <v>0</v>
      </c>
      <c r="N73" s="37">
        <v>58</v>
      </c>
      <c r="O73" s="37"/>
      <c r="P73" s="37">
        <v>323</v>
      </c>
      <c r="Q73" s="37"/>
      <c r="R73" s="42">
        <f>+C73-(C73*0.15)</f>
        <v>351.05</v>
      </c>
      <c r="S73" s="44">
        <f t="shared" si="12"/>
        <v>-61.949999999999989</v>
      </c>
      <c r="T73" s="33">
        <f t="shared" si="13"/>
        <v>2</v>
      </c>
      <c r="U73" s="33">
        <f t="shared" si="14"/>
        <v>1.3</v>
      </c>
    </row>
    <row r="74" spans="1:21" s="3" customFormat="1" ht="31.5" x14ac:dyDescent="0.25">
      <c r="A74" s="22">
        <f t="shared" si="39"/>
        <v>17</v>
      </c>
      <c r="B74" s="23" t="s">
        <v>63</v>
      </c>
      <c r="C74" s="24">
        <f t="shared" si="36"/>
        <v>216</v>
      </c>
      <c r="D74" s="25">
        <f t="shared" si="37"/>
        <v>216</v>
      </c>
      <c r="E74" s="25">
        <f t="shared" si="38"/>
        <v>0</v>
      </c>
      <c r="F74" s="26">
        <v>34</v>
      </c>
      <c r="G74" s="26">
        <v>1</v>
      </c>
      <c r="H74" s="26"/>
      <c r="I74" s="26"/>
      <c r="J74" s="42">
        <v>182</v>
      </c>
      <c r="K74" s="42">
        <v>0</v>
      </c>
      <c r="L74" s="42">
        <v>0</v>
      </c>
      <c r="M74" s="42">
        <v>0</v>
      </c>
      <c r="N74" s="37">
        <v>182</v>
      </c>
      <c r="O74" s="37">
        <v>0</v>
      </c>
      <c r="P74" s="37">
        <v>0</v>
      </c>
      <c r="Q74" s="37">
        <v>0</v>
      </c>
      <c r="R74" s="42">
        <f>+C74-(C74*0.15)</f>
        <v>183.6</v>
      </c>
      <c r="S74" s="44">
        <f t="shared" si="12"/>
        <v>-32.400000000000006</v>
      </c>
      <c r="T74" s="33">
        <f t="shared" si="13"/>
        <v>1</v>
      </c>
      <c r="U74" s="33">
        <f t="shared" si="14"/>
        <v>0.65</v>
      </c>
    </row>
    <row r="75" spans="1:21" s="7" customFormat="1" ht="31.5" x14ac:dyDescent="0.25">
      <c r="A75" s="22">
        <f t="shared" si="39"/>
        <v>18</v>
      </c>
      <c r="B75" s="23" t="s">
        <v>11</v>
      </c>
      <c r="C75" s="24">
        <f t="shared" si="36"/>
        <v>26</v>
      </c>
      <c r="D75" s="25">
        <f t="shared" si="37"/>
        <v>26</v>
      </c>
      <c r="E75" s="25">
        <f t="shared" si="33"/>
        <v>0</v>
      </c>
      <c r="F75" s="26">
        <v>26</v>
      </c>
      <c r="G75" s="26">
        <v>1</v>
      </c>
      <c r="H75" s="26">
        <v>1</v>
      </c>
      <c r="I75" s="26"/>
      <c r="J75" s="42"/>
      <c r="K75" s="42"/>
      <c r="L75" s="42"/>
      <c r="M75" s="42"/>
      <c r="N75" s="37"/>
      <c r="O75" s="37"/>
      <c r="P75" s="37"/>
      <c r="Q75" s="37"/>
      <c r="R75" s="42">
        <v>26</v>
      </c>
      <c r="S75" s="44">
        <f t="shared" si="12"/>
        <v>0</v>
      </c>
      <c r="T75" s="33">
        <f t="shared" si="13"/>
        <v>2</v>
      </c>
      <c r="U75" s="33">
        <f t="shared" si="14"/>
        <v>1.3</v>
      </c>
    </row>
    <row r="76" spans="1:21" s="3" customFormat="1" ht="31.5" x14ac:dyDescent="0.25">
      <c r="A76" s="22">
        <f t="shared" si="39"/>
        <v>19</v>
      </c>
      <c r="B76" s="23" t="s">
        <v>58</v>
      </c>
      <c r="C76" s="24">
        <f t="shared" si="36"/>
        <v>24</v>
      </c>
      <c r="D76" s="25">
        <f t="shared" si="37"/>
        <v>24</v>
      </c>
      <c r="E76" s="25">
        <f t="shared" si="33"/>
        <v>0</v>
      </c>
      <c r="F76" s="26">
        <v>24</v>
      </c>
      <c r="G76" s="26">
        <v>1</v>
      </c>
      <c r="H76" s="26">
        <v>1</v>
      </c>
      <c r="I76" s="26"/>
      <c r="J76" s="42">
        <v>0</v>
      </c>
      <c r="K76" s="42">
        <v>0</v>
      </c>
      <c r="L76" s="42">
        <v>0</v>
      </c>
      <c r="M76" s="42">
        <v>0</v>
      </c>
      <c r="N76" s="37"/>
      <c r="O76" s="37"/>
      <c r="P76" s="37"/>
      <c r="Q76" s="37"/>
      <c r="R76" s="42">
        <v>24</v>
      </c>
      <c r="S76" s="44">
        <f t="shared" si="12"/>
        <v>0</v>
      </c>
      <c r="T76" s="33">
        <f t="shared" si="13"/>
        <v>2</v>
      </c>
      <c r="U76" s="33">
        <f t="shared" si="14"/>
        <v>1.3</v>
      </c>
    </row>
    <row r="77" spans="1:21" s="3" customFormat="1" ht="17.25" x14ac:dyDescent="0.25">
      <c r="A77" s="22">
        <f t="shared" si="39"/>
        <v>20</v>
      </c>
      <c r="B77" s="23" t="s">
        <v>66</v>
      </c>
      <c r="C77" s="24">
        <f t="shared" si="36"/>
        <v>51</v>
      </c>
      <c r="D77" s="25">
        <f t="shared" si="37"/>
        <v>51</v>
      </c>
      <c r="E77" s="25">
        <f t="shared" si="33"/>
        <v>0</v>
      </c>
      <c r="F77" s="26">
        <v>51</v>
      </c>
      <c r="G77" s="26">
        <v>0</v>
      </c>
      <c r="H77" s="26">
        <v>1</v>
      </c>
      <c r="I77" s="26"/>
      <c r="J77" s="42">
        <v>0</v>
      </c>
      <c r="K77" s="42">
        <v>0</v>
      </c>
      <c r="L77" s="42">
        <v>0</v>
      </c>
      <c r="M77" s="42">
        <v>0</v>
      </c>
      <c r="N77" s="37"/>
      <c r="O77" s="37"/>
      <c r="P77" s="37"/>
      <c r="Q77" s="37"/>
      <c r="R77" s="42">
        <v>51</v>
      </c>
      <c r="S77" s="44">
        <f t="shared" si="12"/>
        <v>0</v>
      </c>
      <c r="T77" s="33">
        <f t="shared" si="13"/>
        <v>1</v>
      </c>
      <c r="U77" s="33">
        <f t="shared" si="14"/>
        <v>0.65</v>
      </c>
    </row>
    <row r="78" spans="1:21" s="3" customFormat="1" ht="30" customHeight="1" x14ac:dyDescent="0.25">
      <c r="A78" s="22">
        <f t="shared" si="39"/>
        <v>21</v>
      </c>
      <c r="B78" s="23" t="s">
        <v>68</v>
      </c>
      <c r="C78" s="24">
        <f t="shared" si="36"/>
        <v>32</v>
      </c>
      <c r="D78" s="25">
        <f t="shared" si="37"/>
        <v>32</v>
      </c>
      <c r="E78" s="25">
        <f t="shared" si="33"/>
        <v>0</v>
      </c>
      <c r="F78" s="26">
        <v>32</v>
      </c>
      <c r="G78" s="26">
        <v>1</v>
      </c>
      <c r="H78" s="26"/>
      <c r="I78" s="26"/>
      <c r="J78" s="42">
        <v>0</v>
      </c>
      <c r="K78" s="42">
        <v>0</v>
      </c>
      <c r="L78" s="42">
        <v>0</v>
      </c>
      <c r="M78" s="42">
        <v>0</v>
      </c>
      <c r="N78" s="37"/>
      <c r="O78" s="37"/>
      <c r="P78" s="37"/>
      <c r="Q78" s="37"/>
      <c r="R78" s="42">
        <v>32</v>
      </c>
      <c r="S78" s="44">
        <f t="shared" ref="S78:S110" si="40">+R78-C78</f>
        <v>0</v>
      </c>
      <c r="T78" s="33">
        <f t="shared" si="13"/>
        <v>1</v>
      </c>
      <c r="U78" s="33">
        <f t="shared" si="14"/>
        <v>0.65</v>
      </c>
    </row>
    <row r="79" spans="1:21" s="3" customFormat="1" ht="30" customHeight="1" x14ac:dyDescent="0.25">
      <c r="A79" s="22">
        <f t="shared" si="39"/>
        <v>22</v>
      </c>
      <c r="B79" s="23" t="s">
        <v>54</v>
      </c>
      <c r="C79" s="24">
        <f t="shared" si="36"/>
        <v>48</v>
      </c>
      <c r="D79" s="25">
        <f t="shared" si="37"/>
        <v>48</v>
      </c>
      <c r="E79" s="25">
        <f t="shared" si="33"/>
        <v>0</v>
      </c>
      <c r="F79" s="26">
        <v>48</v>
      </c>
      <c r="G79" s="26">
        <v>1</v>
      </c>
      <c r="H79" s="26">
        <v>1</v>
      </c>
      <c r="I79" s="26"/>
      <c r="J79" s="42">
        <v>0</v>
      </c>
      <c r="K79" s="42">
        <v>0</v>
      </c>
      <c r="L79" s="42">
        <v>0</v>
      </c>
      <c r="M79" s="42">
        <v>0</v>
      </c>
      <c r="N79" s="37"/>
      <c r="O79" s="37"/>
      <c r="P79" s="37"/>
      <c r="Q79" s="37"/>
      <c r="R79" s="42">
        <v>48</v>
      </c>
      <c r="S79" s="44">
        <f t="shared" si="40"/>
        <v>0</v>
      </c>
      <c r="T79" s="33">
        <f t="shared" si="13"/>
        <v>2</v>
      </c>
      <c r="U79" s="33">
        <f t="shared" si="14"/>
        <v>1.3</v>
      </c>
    </row>
    <row r="80" spans="1:21" s="7" customFormat="1" ht="30" customHeight="1" x14ac:dyDescent="0.25">
      <c r="A80" s="22">
        <f t="shared" si="39"/>
        <v>23</v>
      </c>
      <c r="B80" s="23" t="s">
        <v>15</v>
      </c>
      <c r="C80" s="24">
        <f t="shared" si="36"/>
        <v>20</v>
      </c>
      <c r="D80" s="25">
        <f t="shared" si="37"/>
        <v>20</v>
      </c>
      <c r="E80" s="25">
        <f t="shared" si="33"/>
        <v>0</v>
      </c>
      <c r="F80" s="26">
        <v>20</v>
      </c>
      <c r="G80" s="26">
        <v>1</v>
      </c>
      <c r="H80" s="26">
        <v>1</v>
      </c>
      <c r="I80" s="26"/>
      <c r="J80" s="42">
        <v>0</v>
      </c>
      <c r="K80" s="42">
        <v>0</v>
      </c>
      <c r="L80" s="42">
        <v>0</v>
      </c>
      <c r="M80" s="42">
        <v>0</v>
      </c>
      <c r="N80" s="37"/>
      <c r="O80" s="37"/>
      <c r="P80" s="37"/>
      <c r="Q80" s="37"/>
      <c r="R80" s="42">
        <v>20</v>
      </c>
      <c r="S80" s="44">
        <f t="shared" si="40"/>
        <v>0</v>
      </c>
      <c r="T80" s="33">
        <f t="shared" si="13"/>
        <v>2</v>
      </c>
      <c r="U80" s="33">
        <f t="shared" si="14"/>
        <v>1.3</v>
      </c>
    </row>
    <row r="81" spans="1:21" s="3" customFormat="1" ht="30.75" customHeight="1" x14ac:dyDescent="0.25">
      <c r="A81" s="22">
        <f t="shared" si="39"/>
        <v>24</v>
      </c>
      <c r="B81" s="23" t="s">
        <v>65</v>
      </c>
      <c r="C81" s="24">
        <f t="shared" si="36"/>
        <v>108</v>
      </c>
      <c r="D81" s="25">
        <f t="shared" si="37"/>
        <v>108</v>
      </c>
      <c r="E81" s="25">
        <f t="shared" si="33"/>
        <v>0</v>
      </c>
      <c r="F81" s="26">
        <f>80+28</f>
        <v>108</v>
      </c>
      <c r="G81" s="26">
        <v>1</v>
      </c>
      <c r="H81" s="26">
        <v>2</v>
      </c>
      <c r="I81" s="26"/>
      <c r="J81" s="42">
        <v>0</v>
      </c>
      <c r="K81" s="42">
        <v>0</v>
      </c>
      <c r="L81" s="42">
        <v>0</v>
      </c>
      <c r="M81" s="42">
        <v>0</v>
      </c>
      <c r="N81" s="37"/>
      <c r="O81" s="37"/>
      <c r="P81" s="37"/>
      <c r="Q81" s="37"/>
      <c r="R81" s="42">
        <v>108</v>
      </c>
      <c r="S81" s="44">
        <f t="shared" si="40"/>
        <v>0</v>
      </c>
      <c r="T81" s="33">
        <f t="shared" si="13"/>
        <v>3</v>
      </c>
      <c r="U81" s="33">
        <f t="shared" si="14"/>
        <v>1.9500000000000002</v>
      </c>
    </row>
    <row r="82" spans="1:21" s="7" customFormat="1" ht="29.25" customHeight="1" x14ac:dyDescent="0.25">
      <c r="A82" s="22">
        <f t="shared" si="39"/>
        <v>25</v>
      </c>
      <c r="B82" s="23" t="s">
        <v>75</v>
      </c>
      <c r="C82" s="24">
        <f t="shared" ref="C82" si="41">SUM(D82:E82)</f>
        <v>210</v>
      </c>
      <c r="D82" s="25">
        <f t="shared" si="37"/>
        <v>210</v>
      </c>
      <c r="E82" s="25">
        <f t="shared" si="33"/>
        <v>0</v>
      </c>
      <c r="F82" s="26">
        <v>65</v>
      </c>
      <c r="G82" s="26">
        <v>1</v>
      </c>
      <c r="H82" s="26">
        <v>2</v>
      </c>
      <c r="I82" s="26"/>
      <c r="J82" s="42">
        <v>145</v>
      </c>
      <c r="K82" s="42">
        <v>0</v>
      </c>
      <c r="L82" s="42">
        <v>0</v>
      </c>
      <c r="M82" s="42">
        <v>0</v>
      </c>
      <c r="N82" s="37">
        <v>145</v>
      </c>
      <c r="O82" s="37"/>
      <c r="P82" s="37"/>
      <c r="Q82" s="37"/>
      <c r="R82" s="42">
        <f>+C82-(C82*0.1)</f>
        <v>189</v>
      </c>
      <c r="S82" s="44">
        <f t="shared" si="40"/>
        <v>-21</v>
      </c>
      <c r="T82" s="33">
        <f t="shared" si="13"/>
        <v>3</v>
      </c>
      <c r="U82" s="33">
        <f t="shared" si="14"/>
        <v>1.9500000000000002</v>
      </c>
    </row>
    <row r="83" spans="1:21" s="3" customFormat="1" ht="47.25" x14ac:dyDescent="0.25">
      <c r="A83" s="22">
        <f t="shared" si="39"/>
        <v>26</v>
      </c>
      <c r="B83" s="23" t="s">
        <v>57</v>
      </c>
      <c r="C83" s="24">
        <f t="shared" ref="C83" si="42">SUM(D83:E83)</f>
        <v>9581</v>
      </c>
      <c r="D83" s="25">
        <f t="shared" si="37"/>
        <v>9581</v>
      </c>
      <c r="E83" s="25">
        <f t="shared" si="33"/>
        <v>0</v>
      </c>
      <c r="F83" s="26">
        <v>62</v>
      </c>
      <c r="G83" s="26">
        <v>1</v>
      </c>
      <c r="H83" s="26">
        <v>1</v>
      </c>
      <c r="I83" s="26"/>
      <c r="J83" s="42">
        <v>210</v>
      </c>
      <c r="K83" s="42">
        <v>0</v>
      </c>
      <c r="L83" s="42">
        <v>9309</v>
      </c>
      <c r="M83" s="42">
        <v>0</v>
      </c>
      <c r="N83" s="37">
        <v>210</v>
      </c>
      <c r="O83" s="37">
        <v>0</v>
      </c>
      <c r="P83" s="37">
        <v>0</v>
      </c>
      <c r="Q83" s="37">
        <v>0</v>
      </c>
      <c r="R83" s="42">
        <f>+C83-41</f>
        <v>9540</v>
      </c>
      <c r="S83" s="44">
        <f t="shared" si="40"/>
        <v>-41</v>
      </c>
      <c r="T83" s="33">
        <f t="shared" si="13"/>
        <v>2</v>
      </c>
      <c r="U83" s="33">
        <f t="shared" si="14"/>
        <v>1.3</v>
      </c>
    </row>
    <row r="84" spans="1:21" s="3" customFormat="1" ht="17.25" x14ac:dyDescent="0.25">
      <c r="A84" s="22">
        <f t="shared" si="39"/>
        <v>27</v>
      </c>
      <c r="B84" s="23" t="s">
        <v>67</v>
      </c>
      <c r="C84" s="24">
        <f t="shared" si="36"/>
        <v>1341</v>
      </c>
      <c r="D84" s="25">
        <f t="shared" si="37"/>
        <v>1341</v>
      </c>
      <c r="E84" s="25">
        <f t="shared" si="33"/>
        <v>0</v>
      </c>
      <c r="F84" s="26">
        <v>111</v>
      </c>
      <c r="G84" s="26">
        <v>1</v>
      </c>
      <c r="H84" s="26">
        <v>1</v>
      </c>
      <c r="I84" s="26"/>
      <c r="J84" s="42">
        <v>224</v>
      </c>
      <c r="K84" s="42">
        <v>0</v>
      </c>
      <c r="L84" s="42">
        <v>1006</v>
      </c>
      <c r="M84" s="42">
        <v>0</v>
      </c>
      <c r="N84" s="37">
        <v>224</v>
      </c>
      <c r="O84" s="37">
        <v>0</v>
      </c>
      <c r="P84" s="37">
        <v>1006</v>
      </c>
      <c r="Q84" s="37">
        <v>0</v>
      </c>
      <c r="R84" s="42">
        <f>+C84-(C84*0.1)</f>
        <v>1206.9000000000001</v>
      </c>
      <c r="S84" s="44">
        <f t="shared" si="40"/>
        <v>-134.09999999999991</v>
      </c>
      <c r="T84" s="33">
        <f t="shared" si="13"/>
        <v>2</v>
      </c>
      <c r="U84" s="33">
        <f t="shared" si="14"/>
        <v>1.3</v>
      </c>
    </row>
    <row r="85" spans="1:21" s="3" customFormat="1" ht="31.5" x14ac:dyDescent="0.25">
      <c r="A85" s="22">
        <f t="shared" si="39"/>
        <v>28</v>
      </c>
      <c r="B85" s="23" t="s">
        <v>76</v>
      </c>
      <c r="C85" s="24">
        <f t="shared" si="36"/>
        <v>185</v>
      </c>
      <c r="D85" s="25">
        <f t="shared" si="37"/>
        <v>152</v>
      </c>
      <c r="E85" s="25">
        <f t="shared" si="33"/>
        <v>33</v>
      </c>
      <c r="F85" s="26">
        <v>152</v>
      </c>
      <c r="G85" s="26">
        <v>1</v>
      </c>
      <c r="H85" s="26">
        <v>1</v>
      </c>
      <c r="I85" s="26">
        <v>33</v>
      </c>
      <c r="J85" s="42">
        <v>0</v>
      </c>
      <c r="K85" s="42">
        <v>0</v>
      </c>
      <c r="L85" s="42">
        <v>0</v>
      </c>
      <c r="M85" s="42">
        <v>0</v>
      </c>
      <c r="N85" s="37"/>
      <c r="O85" s="37"/>
      <c r="P85" s="37"/>
      <c r="Q85" s="37"/>
      <c r="R85" s="42">
        <f>+C85-(C85*0.1)</f>
        <v>166.5</v>
      </c>
      <c r="S85" s="44">
        <f t="shared" si="40"/>
        <v>-18.5</v>
      </c>
      <c r="T85" s="33">
        <f>+(G85+H85)</f>
        <v>2</v>
      </c>
      <c r="U85" s="33">
        <f t="shared" ref="U85:U110" si="43">+T85-(T85*0.35)</f>
        <v>1.3</v>
      </c>
    </row>
    <row r="86" spans="1:21" ht="17.25" x14ac:dyDescent="0.25">
      <c r="A86" s="156" t="s">
        <v>106</v>
      </c>
      <c r="B86" s="156"/>
      <c r="C86" s="19">
        <f t="shared" ref="C86:S86" si="44">SUM(C87:C110)</f>
        <v>8613</v>
      </c>
      <c r="D86" s="19">
        <f t="shared" si="44"/>
        <v>3584</v>
      </c>
      <c r="E86" s="19">
        <f t="shared" si="44"/>
        <v>5029</v>
      </c>
      <c r="F86" s="19">
        <f t="shared" si="44"/>
        <v>1263</v>
      </c>
      <c r="G86" s="19">
        <f t="shared" si="44"/>
        <v>9</v>
      </c>
      <c r="H86" s="19">
        <f t="shared" si="44"/>
        <v>22</v>
      </c>
      <c r="I86" s="19">
        <f t="shared" si="44"/>
        <v>484</v>
      </c>
      <c r="J86" s="19">
        <f t="shared" si="44"/>
        <v>1222</v>
      </c>
      <c r="K86" s="19">
        <f t="shared" si="44"/>
        <v>1591</v>
      </c>
      <c r="L86" s="19">
        <f t="shared" si="44"/>
        <v>1099</v>
      </c>
      <c r="M86" s="19">
        <f t="shared" si="44"/>
        <v>2954</v>
      </c>
      <c r="N86" s="9">
        <f t="shared" si="44"/>
        <v>784</v>
      </c>
      <c r="O86" s="9">
        <f t="shared" si="44"/>
        <v>1591</v>
      </c>
      <c r="P86" s="9">
        <f t="shared" si="44"/>
        <v>1099</v>
      </c>
      <c r="Q86" s="9">
        <f t="shared" si="44"/>
        <v>2954</v>
      </c>
      <c r="R86" s="19">
        <f t="shared" si="44"/>
        <v>7506.25</v>
      </c>
      <c r="S86" s="46">
        <f t="shared" si="44"/>
        <v>-1106.7499999999998</v>
      </c>
      <c r="T86" s="33">
        <f>+(G86+H86)</f>
        <v>31</v>
      </c>
      <c r="U86" s="33">
        <f t="shared" si="43"/>
        <v>20.149999999999999</v>
      </c>
    </row>
    <row r="87" spans="1:21" s="3" customFormat="1" ht="29.25" customHeight="1" x14ac:dyDescent="0.25">
      <c r="A87" s="22">
        <v>1</v>
      </c>
      <c r="B87" s="23" t="s">
        <v>77</v>
      </c>
      <c r="C87" s="24">
        <f t="shared" ref="C87:C100" si="45">SUM(D87:E87)</f>
        <v>1593</v>
      </c>
      <c r="D87" s="25">
        <f t="shared" ref="D87:D110" si="46">SUM(F87,J87,L87)</f>
        <v>666</v>
      </c>
      <c r="E87" s="25">
        <f t="shared" ref="E87:E110" si="47">SUM(I87,K87,M87)</f>
        <v>927</v>
      </c>
      <c r="F87" s="26">
        <v>75</v>
      </c>
      <c r="G87" s="26">
        <v>1</v>
      </c>
      <c r="H87" s="26">
        <v>3</v>
      </c>
      <c r="I87" s="26"/>
      <c r="J87" s="42">
        <v>314</v>
      </c>
      <c r="K87" s="42">
        <v>0</v>
      </c>
      <c r="L87" s="42">
        <v>277</v>
      </c>
      <c r="M87" s="42">
        <v>927</v>
      </c>
      <c r="N87" s="37">
        <v>314</v>
      </c>
      <c r="O87" s="37"/>
      <c r="P87" s="37">
        <v>277</v>
      </c>
      <c r="Q87" s="37">
        <v>927</v>
      </c>
      <c r="R87" s="42">
        <f>+C87-(C87*0.15)</f>
        <v>1354.05</v>
      </c>
      <c r="S87" s="44">
        <f t="shared" si="40"/>
        <v>-238.95000000000005</v>
      </c>
      <c r="T87" s="33">
        <f>+(G87+H87)</f>
        <v>4</v>
      </c>
      <c r="U87" s="33">
        <f t="shared" si="43"/>
        <v>2.6</v>
      </c>
    </row>
    <row r="88" spans="1:21" s="3" customFormat="1" ht="30" customHeight="1" x14ac:dyDescent="0.25">
      <c r="A88" s="22">
        <f t="shared" ref="A88:A110" si="48">+A87+1</f>
        <v>2</v>
      </c>
      <c r="B88" s="23" t="s">
        <v>86</v>
      </c>
      <c r="C88" s="24">
        <f t="shared" si="45"/>
        <v>132</v>
      </c>
      <c r="D88" s="25">
        <f t="shared" si="46"/>
        <v>108</v>
      </c>
      <c r="E88" s="25">
        <f t="shared" si="47"/>
        <v>24</v>
      </c>
      <c r="F88" s="26">
        <v>108</v>
      </c>
      <c r="G88" s="26">
        <v>1</v>
      </c>
      <c r="H88" s="26">
        <v>1</v>
      </c>
      <c r="I88" s="26">
        <v>24</v>
      </c>
      <c r="J88" s="42">
        <v>0</v>
      </c>
      <c r="K88" s="42">
        <v>0</v>
      </c>
      <c r="L88" s="42">
        <v>0</v>
      </c>
      <c r="M88" s="42">
        <v>0</v>
      </c>
      <c r="N88" s="37"/>
      <c r="O88" s="37"/>
      <c r="P88" s="37"/>
      <c r="Q88" s="37"/>
      <c r="R88" s="42">
        <f>+C88-(C88*0.1)</f>
        <v>118.8</v>
      </c>
      <c r="S88" s="44">
        <f t="shared" si="40"/>
        <v>-13.200000000000003</v>
      </c>
      <c r="T88" s="33">
        <f>+(G88+H88)</f>
        <v>2</v>
      </c>
      <c r="U88" s="33">
        <f t="shared" si="43"/>
        <v>1.3</v>
      </c>
    </row>
    <row r="89" spans="1:21" s="3" customFormat="1" ht="31.5" x14ac:dyDescent="0.25">
      <c r="A89" s="22">
        <f t="shared" si="48"/>
        <v>3</v>
      </c>
      <c r="B89" s="23" t="s">
        <v>81</v>
      </c>
      <c r="C89" s="24">
        <f t="shared" si="45"/>
        <v>33</v>
      </c>
      <c r="D89" s="25">
        <f t="shared" si="46"/>
        <v>33</v>
      </c>
      <c r="E89" s="25">
        <f t="shared" si="47"/>
        <v>0</v>
      </c>
      <c r="F89" s="26">
        <v>9</v>
      </c>
      <c r="G89" s="26"/>
      <c r="H89" s="26">
        <v>1</v>
      </c>
      <c r="I89" s="26"/>
      <c r="J89" s="42">
        <v>24</v>
      </c>
      <c r="K89" s="42">
        <v>0</v>
      </c>
      <c r="L89" s="42">
        <v>0</v>
      </c>
      <c r="M89" s="42">
        <v>0</v>
      </c>
      <c r="N89" s="37">
        <v>24</v>
      </c>
      <c r="O89" s="37"/>
      <c r="P89" s="37"/>
      <c r="Q89" s="37"/>
      <c r="R89" s="42">
        <v>33</v>
      </c>
      <c r="S89" s="44">
        <f t="shared" si="40"/>
        <v>0</v>
      </c>
      <c r="T89" s="33">
        <f>+(G89+H89)</f>
        <v>1</v>
      </c>
      <c r="U89" s="33">
        <f t="shared" si="43"/>
        <v>0.65</v>
      </c>
    </row>
    <row r="90" spans="1:21" s="3" customFormat="1" ht="31.5" x14ac:dyDescent="0.25">
      <c r="A90" s="22">
        <f t="shared" si="48"/>
        <v>4</v>
      </c>
      <c r="B90" s="23" t="s">
        <v>85</v>
      </c>
      <c r="C90" s="24">
        <f t="shared" si="45"/>
        <v>194</v>
      </c>
      <c r="D90" s="25">
        <f t="shared" si="46"/>
        <v>109</v>
      </c>
      <c r="E90" s="25">
        <f t="shared" si="47"/>
        <v>85</v>
      </c>
      <c r="F90" s="26">
        <v>20</v>
      </c>
      <c r="G90" s="26"/>
      <c r="H90" s="26">
        <v>1</v>
      </c>
      <c r="I90" s="26">
        <v>85</v>
      </c>
      <c r="J90" s="42">
        <v>89</v>
      </c>
      <c r="K90" s="42">
        <v>0</v>
      </c>
      <c r="L90" s="42">
        <v>0</v>
      </c>
      <c r="M90" s="42">
        <v>0</v>
      </c>
      <c r="N90" s="37">
        <v>89</v>
      </c>
      <c r="O90" s="37"/>
      <c r="P90" s="37"/>
      <c r="Q90" s="37"/>
      <c r="R90" s="42">
        <f>+C90-(C90*0.1)</f>
        <v>174.6</v>
      </c>
      <c r="S90" s="44">
        <f t="shared" si="40"/>
        <v>-19.400000000000006</v>
      </c>
      <c r="T90" s="33">
        <f t="shared" ref="T90:T94" si="49">+(G90+H90)</f>
        <v>1</v>
      </c>
      <c r="U90" s="33">
        <f t="shared" si="43"/>
        <v>0.65</v>
      </c>
    </row>
    <row r="91" spans="1:21" s="3" customFormat="1" ht="47.25" x14ac:dyDescent="0.25">
      <c r="A91" s="22">
        <f t="shared" si="48"/>
        <v>5</v>
      </c>
      <c r="B91" s="23" t="s">
        <v>118</v>
      </c>
      <c r="C91" s="24">
        <f t="shared" si="45"/>
        <v>89</v>
      </c>
      <c r="D91" s="25">
        <f t="shared" si="46"/>
        <v>89</v>
      </c>
      <c r="E91" s="25">
        <f t="shared" si="47"/>
        <v>0</v>
      </c>
      <c r="F91" s="26">
        <v>89</v>
      </c>
      <c r="G91" s="26"/>
      <c r="H91" s="26"/>
      <c r="I91" s="26"/>
      <c r="J91" s="42">
        <v>0</v>
      </c>
      <c r="K91" s="42">
        <v>0</v>
      </c>
      <c r="L91" s="42">
        <v>0</v>
      </c>
      <c r="M91" s="42">
        <v>0</v>
      </c>
      <c r="N91" s="37"/>
      <c r="O91" s="37"/>
      <c r="P91" s="37"/>
      <c r="Q91" s="37"/>
      <c r="R91" s="42">
        <v>89</v>
      </c>
      <c r="S91" s="44">
        <f t="shared" si="40"/>
        <v>0</v>
      </c>
      <c r="T91" s="33">
        <f t="shared" si="49"/>
        <v>0</v>
      </c>
      <c r="U91" s="33">
        <f t="shared" si="43"/>
        <v>0</v>
      </c>
    </row>
    <row r="92" spans="1:21" s="3" customFormat="1" ht="47.25" x14ac:dyDescent="0.25">
      <c r="A92" s="22">
        <f t="shared" si="48"/>
        <v>6</v>
      </c>
      <c r="B92" s="23" t="s">
        <v>84</v>
      </c>
      <c r="C92" s="24">
        <f t="shared" si="45"/>
        <v>73</v>
      </c>
      <c r="D92" s="25">
        <f t="shared" si="46"/>
        <v>73</v>
      </c>
      <c r="E92" s="25">
        <f t="shared" si="47"/>
        <v>0</v>
      </c>
      <c r="F92" s="26">
        <v>73</v>
      </c>
      <c r="G92" s="26"/>
      <c r="H92" s="26"/>
      <c r="I92" s="26"/>
      <c r="J92" s="42">
        <v>0</v>
      </c>
      <c r="K92" s="42">
        <v>0</v>
      </c>
      <c r="L92" s="42">
        <v>0</v>
      </c>
      <c r="M92" s="42">
        <v>0</v>
      </c>
      <c r="N92" s="37"/>
      <c r="O92" s="37"/>
      <c r="P92" s="37"/>
      <c r="Q92" s="37"/>
      <c r="R92" s="42">
        <v>73</v>
      </c>
      <c r="S92" s="44">
        <f t="shared" si="40"/>
        <v>0</v>
      </c>
      <c r="T92" s="33">
        <f t="shared" si="49"/>
        <v>0</v>
      </c>
      <c r="U92" s="33">
        <f t="shared" si="43"/>
        <v>0</v>
      </c>
    </row>
    <row r="93" spans="1:21" s="7" customFormat="1" ht="21.75" customHeight="1" x14ac:dyDescent="0.25">
      <c r="A93" s="22">
        <f t="shared" si="48"/>
        <v>7</v>
      </c>
      <c r="B93" s="23" t="s">
        <v>13</v>
      </c>
      <c r="C93" s="24">
        <f t="shared" si="45"/>
        <v>34</v>
      </c>
      <c r="D93" s="25">
        <f t="shared" si="46"/>
        <v>34</v>
      </c>
      <c r="E93" s="25">
        <f t="shared" si="47"/>
        <v>0</v>
      </c>
      <c r="F93" s="26">
        <v>34</v>
      </c>
      <c r="G93" s="26"/>
      <c r="H93" s="26"/>
      <c r="I93" s="26"/>
      <c r="J93" s="42"/>
      <c r="K93" s="42"/>
      <c r="L93" s="42"/>
      <c r="M93" s="42"/>
      <c r="N93" s="37"/>
      <c r="O93" s="37"/>
      <c r="P93" s="37"/>
      <c r="Q93" s="37"/>
      <c r="R93" s="42">
        <v>34</v>
      </c>
      <c r="S93" s="44">
        <f t="shared" si="40"/>
        <v>0</v>
      </c>
      <c r="T93" s="33">
        <f t="shared" si="49"/>
        <v>0</v>
      </c>
      <c r="U93" s="33">
        <f t="shared" si="43"/>
        <v>0</v>
      </c>
    </row>
    <row r="94" spans="1:21" s="3" customFormat="1" ht="31.5" x14ac:dyDescent="0.25">
      <c r="A94" s="22">
        <f t="shared" si="48"/>
        <v>8</v>
      </c>
      <c r="B94" s="23" t="s">
        <v>80</v>
      </c>
      <c r="C94" s="24">
        <f t="shared" si="45"/>
        <v>89</v>
      </c>
      <c r="D94" s="25">
        <f t="shared" si="46"/>
        <v>59</v>
      </c>
      <c r="E94" s="25">
        <f t="shared" si="47"/>
        <v>30</v>
      </c>
      <c r="F94" s="26">
        <v>59</v>
      </c>
      <c r="G94" s="26"/>
      <c r="H94" s="26">
        <v>1</v>
      </c>
      <c r="I94" s="26">
        <v>30</v>
      </c>
      <c r="J94" s="42">
        <v>0</v>
      </c>
      <c r="K94" s="42">
        <v>0</v>
      </c>
      <c r="L94" s="42">
        <v>0</v>
      </c>
      <c r="M94" s="42">
        <v>0</v>
      </c>
      <c r="N94" s="37"/>
      <c r="O94" s="37"/>
      <c r="P94" s="37"/>
      <c r="Q94" s="37"/>
      <c r="R94" s="42">
        <v>89</v>
      </c>
      <c r="S94" s="44">
        <f t="shared" si="40"/>
        <v>0</v>
      </c>
      <c r="T94" s="33">
        <f t="shared" si="49"/>
        <v>1</v>
      </c>
      <c r="U94" s="33">
        <f t="shared" si="43"/>
        <v>0.65</v>
      </c>
    </row>
    <row r="95" spans="1:21" s="3" customFormat="1" ht="31.5" x14ac:dyDescent="0.25">
      <c r="A95" s="22">
        <f t="shared" si="48"/>
        <v>9</v>
      </c>
      <c r="B95" s="23" t="s">
        <v>78</v>
      </c>
      <c r="C95" s="24">
        <f t="shared" si="45"/>
        <v>198</v>
      </c>
      <c r="D95" s="25">
        <f t="shared" si="46"/>
        <v>198</v>
      </c>
      <c r="E95" s="25">
        <f t="shared" si="47"/>
        <v>0</v>
      </c>
      <c r="F95" s="26">
        <v>198</v>
      </c>
      <c r="G95" s="26"/>
      <c r="H95" s="26">
        <v>1</v>
      </c>
      <c r="I95" s="26"/>
      <c r="J95" s="42">
        <v>0</v>
      </c>
      <c r="K95" s="42">
        <v>0</v>
      </c>
      <c r="L95" s="42">
        <v>0</v>
      </c>
      <c r="M95" s="42">
        <v>0</v>
      </c>
      <c r="N95" s="37"/>
      <c r="O95" s="37"/>
      <c r="P95" s="37"/>
      <c r="Q95" s="37"/>
      <c r="R95" s="42">
        <f>+C95-(C95*0.1)</f>
        <v>178.2</v>
      </c>
      <c r="S95" s="44">
        <f t="shared" si="40"/>
        <v>-19.800000000000011</v>
      </c>
      <c r="T95" s="33">
        <f>+(G95+H95)</f>
        <v>1</v>
      </c>
      <c r="U95" s="33">
        <f t="shared" si="43"/>
        <v>0.65</v>
      </c>
    </row>
    <row r="96" spans="1:21" s="3" customFormat="1" ht="31.5" x14ac:dyDescent="0.25">
      <c r="A96" s="22">
        <f t="shared" si="48"/>
        <v>10</v>
      </c>
      <c r="B96" s="23" t="s">
        <v>79</v>
      </c>
      <c r="C96" s="24">
        <f t="shared" si="45"/>
        <v>33</v>
      </c>
      <c r="D96" s="25">
        <f t="shared" si="46"/>
        <v>33</v>
      </c>
      <c r="E96" s="25">
        <f t="shared" si="47"/>
        <v>0</v>
      </c>
      <c r="F96" s="26">
        <v>33</v>
      </c>
      <c r="G96" s="26"/>
      <c r="H96" s="26">
        <v>1</v>
      </c>
      <c r="I96" s="26"/>
      <c r="J96" s="42">
        <v>0</v>
      </c>
      <c r="K96" s="42">
        <v>0</v>
      </c>
      <c r="L96" s="42">
        <v>0</v>
      </c>
      <c r="M96" s="42">
        <v>0</v>
      </c>
      <c r="N96" s="37"/>
      <c r="O96" s="37"/>
      <c r="P96" s="37"/>
      <c r="Q96" s="37"/>
      <c r="R96" s="42">
        <v>33</v>
      </c>
      <c r="S96" s="44">
        <f t="shared" si="40"/>
        <v>0</v>
      </c>
      <c r="T96" s="33">
        <f>+(G96+H96)</f>
        <v>1</v>
      </c>
      <c r="U96" s="33">
        <f t="shared" si="43"/>
        <v>0.65</v>
      </c>
    </row>
    <row r="97" spans="1:21" s="3" customFormat="1" ht="31.5" x14ac:dyDescent="0.25">
      <c r="A97" s="22">
        <f t="shared" si="48"/>
        <v>11</v>
      </c>
      <c r="B97" s="23" t="s">
        <v>82</v>
      </c>
      <c r="C97" s="24">
        <f t="shared" si="45"/>
        <v>20</v>
      </c>
      <c r="D97" s="25">
        <f t="shared" si="46"/>
        <v>20</v>
      </c>
      <c r="E97" s="25">
        <f t="shared" si="47"/>
        <v>0</v>
      </c>
      <c r="F97" s="26">
        <v>20</v>
      </c>
      <c r="G97" s="26"/>
      <c r="H97" s="26"/>
      <c r="I97" s="26"/>
      <c r="J97" s="42">
        <v>0</v>
      </c>
      <c r="K97" s="42">
        <v>0</v>
      </c>
      <c r="L97" s="42">
        <v>0</v>
      </c>
      <c r="M97" s="42">
        <v>0</v>
      </c>
      <c r="N97" s="37"/>
      <c r="O97" s="37"/>
      <c r="P97" s="37"/>
      <c r="Q97" s="37"/>
      <c r="R97" s="42">
        <v>20</v>
      </c>
      <c r="S97" s="44">
        <f t="shared" si="40"/>
        <v>0</v>
      </c>
      <c r="T97" s="33">
        <f>+(G97+H97)</f>
        <v>0</v>
      </c>
      <c r="U97" s="33">
        <f t="shared" si="43"/>
        <v>0</v>
      </c>
    </row>
    <row r="98" spans="1:21" s="3" customFormat="1" ht="31.5" x14ac:dyDescent="0.25">
      <c r="A98" s="22">
        <f t="shared" si="48"/>
        <v>12</v>
      </c>
      <c r="B98" s="23" t="s">
        <v>83</v>
      </c>
      <c r="C98" s="24">
        <f t="shared" si="45"/>
        <v>63</v>
      </c>
      <c r="D98" s="25">
        <f t="shared" si="46"/>
        <v>63</v>
      </c>
      <c r="E98" s="25">
        <f t="shared" si="47"/>
        <v>0</v>
      </c>
      <c r="F98" s="26">
        <v>28</v>
      </c>
      <c r="G98" s="26"/>
      <c r="H98" s="26"/>
      <c r="I98" s="26"/>
      <c r="J98" s="42">
        <v>35</v>
      </c>
      <c r="K98" s="42">
        <v>0</v>
      </c>
      <c r="L98" s="42">
        <v>0</v>
      </c>
      <c r="M98" s="42">
        <v>0</v>
      </c>
      <c r="N98" s="37">
        <v>35</v>
      </c>
      <c r="O98" s="37"/>
      <c r="P98" s="37"/>
      <c r="Q98" s="37"/>
      <c r="R98" s="42">
        <v>63</v>
      </c>
      <c r="S98" s="44">
        <f t="shared" si="40"/>
        <v>0</v>
      </c>
      <c r="T98" s="33">
        <f>+(G98+H98)</f>
        <v>0</v>
      </c>
      <c r="U98" s="33">
        <f t="shared" si="43"/>
        <v>0</v>
      </c>
    </row>
    <row r="99" spans="1:21" s="3" customFormat="1" ht="31.5" x14ac:dyDescent="0.25">
      <c r="A99" s="22">
        <f t="shared" si="48"/>
        <v>13</v>
      </c>
      <c r="B99" s="23" t="s">
        <v>116</v>
      </c>
      <c r="C99" s="24">
        <f t="shared" si="45"/>
        <v>523</v>
      </c>
      <c r="D99" s="25">
        <f t="shared" si="46"/>
        <v>523</v>
      </c>
      <c r="E99" s="25">
        <f>SUM(I99,K99,M99)</f>
        <v>0</v>
      </c>
      <c r="F99" s="26">
        <v>85</v>
      </c>
      <c r="G99" s="26">
        <v>1</v>
      </c>
      <c r="H99" s="26">
        <v>2</v>
      </c>
      <c r="I99" s="26"/>
      <c r="J99" s="42">
        <v>438</v>
      </c>
      <c r="K99" s="42">
        <v>0</v>
      </c>
      <c r="L99" s="42">
        <v>0</v>
      </c>
      <c r="M99" s="42">
        <v>0</v>
      </c>
      <c r="N99" s="37"/>
      <c r="O99" s="37"/>
      <c r="P99" s="37"/>
      <c r="Q99" s="37"/>
      <c r="R99" s="42">
        <f>+C99-(C99*0.1)</f>
        <v>470.7</v>
      </c>
      <c r="S99" s="44">
        <f t="shared" si="40"/>
        <v>-52.300000000000011</v>
      </c>
      <c r="T99" s="33">
        <f t="shared" ref="T99:T110" si="50">+(G99+H99)</f>
        <v>3</v>
      </c>
      <c r="U99" s="33">
        <f t="shared" si="43"/>
        <v>1.9500000000000002</v>
      </c>
    </row>
    <row r="100" spans="1:21" s="4" customFormat="1" ht="31.5" x14ac:dyDescent="0.25">
      <c r="A100" s="22">
        <f t="shared" si="48"/>
        <v>14</v>
      </c>
      <c r="B100" s="27" t="s">
        <v>87</v>
      </c>
      <c r="C100" s="28">
        <f t="shared" si="45"/>
        <v>0</v>
      </c>
      <c r="D100" s="29">
        <f t="shared" si="46"/>
        <v>0</v>
      </c>
      <c r="E100" s="29">
        <f>SUM(I100,K100,M100)</f>
        <v>0</v>
      </c>
      <c r="F100" s="30"/>
      <c r="G100" s="30"/>
      <c r="H100" s="30"/>
      <c r="I100" s="30"/>
      <c r="J100" s="43"/>
      <c r="K100" s="43"/>
      <c r="L100" s="43"/>
      <c r="M100" s="43"/>
      <c r="N100" s="39"/>
      <c r="O100" s="39"/>
      <c r="P100" s="39"/>
      <c r="Q100" s="39"/>
      <c r="R100" s="43"/>
      <c r="S100" s="49"/>
      <c r="T100" s="33">
        <f t="shared" si="50"/>
        <v>0</v>
      </c>
      <c r="U100" s="33">
        <f t="shared" si="43"/>
        <v>0</v>
      </c>
    </row>
    <row r="101" spans="1:21" s="3" customFormat="1" ht="31.5" x14ac:dyDescent="0.25">
      <c r="A101" s="22">
        <f t="shared" si="48"/>
        <v>15</v>
      </c>
      <c r="B101" s="23" t="s">
        <v>88</v>
      </c>
      <c r="C101" s="24">
        <f t="shared" ref="C101:C102" si="51">SUM(D101:E101)</f>
        <v>31</v>
      </c>
      <c r="D101" s="25">
        <f t="shared" si="46"/>
        <v>31</v>
      </c>
      <c r="E101" s="25">
        <f t="shared" si="47"/>
        <v>0</v>
      </c>
      <c r="F101" s="26">
        <v>31</v>
      </c>
      <c r="G101" s="26">
        <v>1</v>
      </c>
      <c r="H101" s="26">
        <v>1</v>
      </c>
      <c r="I101" s="26"/>
      <c r="J101" s="42">
        <v>0</v>
      </c>
      <c r="K101" s="42">
        <v>0</v>
      </c>
      <c r="L101" s="42">
        <v>0</v>
      </c>
      <c r="M101" s="42">
        <v>0</v>
      </c>
      <c r="N101" s="37"/>
      <c r="O101" s="37"/>
      <c r="P101" s="37"/>
      <c r="Q101" s="37"/>
      <c r="R101" s="42">
        <v>31</v>
      </c>
      <c r="S101" s="44">
        <f t="shared" si="40"/>
        <v>0</v>
      </c>
      <c r="T101" s="33">
        <f t="shared" si="50"/>
        <v>2</v>
      </c>
      <c r="U101" s="33">
        <f t="shared" si="43"/>
        <v>1.3</v>
      </c>
    </row>
    <row r="102" spans="1:21" s="3" customFormat="1" ht="17.25" x14ac:dyDescent="0.25">
      <c r="A102" s="22">
        <f t="shared" si="48"/>
        <v>16</v>
      </c>
      <c r="B102" s="23" t="s">
        <v>89</v>
      </c>
      <c r="C102" s="24">
        <f t="shared" si="51"/>
        <v>1784</v>
      </c>
      <c r="D102" s="25">
        <f t="shared" si="46"/>
        <v>46</v>
      </c>
      <c r="E102" s="25">
        <f t="shared" si="47"/>
        <v>1738</v>
      </c>
      <c r="F102" s="26">
        <v>18</v>
      </c>
      <c r="G102" s="26">
        <v>1</v>
      </c>
      <c r="H102" s="26">
        <v>2</v>
      </c>
      <c r="I102" s="26">
        <v>262</v>
      </c>
      <c r="J102" s="42">
        <v>28</v>
      </c>
      <c r="K102" s="42">
        <v>1476</v>
      </c>
      <c r="L102" s="42">
        <v>0</v>
      </c>
      <c r="M102" s="42">
        <v>0</v>
      </c>
      <c r="N102" s="37">
        <v>28</v>
      </c>
      <c r="O102" s="37">
        <v>1476</v>
      </c>
      <c r="P102" s="37"/>
      <c r="Q102" s="37"/>
      <c r="R102" s="42">
        <f>+C102-(C102*0.15)</f>
        <v>1516.4</v>
      </c>
      <c r="S102" s="44">
        <f t="shared" si="40"/>
        <v>-267.59999999999991</v>
      </c>
      <c r="T102" s="33">
        <f t="shared" si="50"/>
        <v>3</v>
      </c>
      <c r="U102" s="33">
        <f t="shared" si="43"/>
        <v>1.9500000000000002</v>
      </c>
    </row>
    <row r="103" spans="1:21" s="3" customFormat="1" ht="17.25" x14ac:dyDescent="0.25">
      <c r="A103" s="22">
        <f t="shared" si="48"/>
        <v>17</v>
      </c>
      <c r="B103" s="23" t="s">
        <v>90</v>
      </c>
      <c r="C103" s="24">
        <f t="shared" ref="C103:C108" si="52">SUM(D103:E103)</f>
        <v>158</v>
      </c>
      <c r="D103" s="25">
        <f t="shared" si="46"/>
        <v>158</v>
      </c>
      <c r="E103" s="25">
        <f t="shared" si="47"/>
        <v>0</v>
      </c>
      <c r="F103" s="26">
        <v>107</v>
      </c>
      <c r="G103" s="26">
        <v>1</v>
      </c>
      <c r="H103" s="26">
        <v>1</v>
      </c>
      <c r="I103" s="26"/>
      <c r="J103" s="42">
        <v>51</v>
      </c>
      <c r="K103" s="42">
        <v>0</v>
      </c>
      <c r="L103" s="42">
        <v>0</v>
      </c>
      <c r="M103" s="42">
        <v>0</v>
      </c>
      <c r="N103" s="37">
        <v>51</v>
      </c>
      <c r="O103" s="37"/>
      <c r="P103" s="37"/>
      <c r="Q103" s="37"/>
      <c r="R103" s="42">
        <f>+C103-(C103*0.1)</f>
        <v>142.19999999999999</v>
      </c>
      <c r="S103" s="44">
        <f t="shared" si="40"/>
        <v>-15.800000000000011</v>
      </c>
      <c r="T103" s="33">
        <f t="shared" si="50"/>
        <v>2</v>
      </c>
      <c r="U103" s="33">
        <f t="shared" si="43"/>
        <v>1.3</v>
      </c>
    </row>
    <row r="104" spans="1:21" s="3" customFormat="1" ht="20.25" customHeight="1" x14ac:dyDescent="0.25">
      <c r="A104" s="22">
        <f t="shared" si="48"/>
        <v>18</v>
      </c>
      <c r="B104" s="23" t="s">
        <v>91</v>
      </c>
      <c r="C104" s="24">
        <f t="shared" si="52"/>
        <v>55</v>
      </c>
      <c r="D104" s="25">
        <f t="shared" si="46"/>
        <v>38</v>
      </c>
      <c r="E104" s="25">
        <f t="shared" si="47"/>
        <v>17</v>
      </c>
      <c r="F104" s="26">
        <v>38</v>
      </c>
      <c r="G104" s="26">
        <v>1</v>
      </c>
      <c r="H104" s="26">
        <v>1</v>
      </c>
      <c r="I104" s="26">
        <v>17</v>
      </c>
      <c r="J104" s="42">
        <v>0</v>
      </c>
      <c r="K104" s="42">
        <v>0</v>
      </c>
      <c r="L104" s="42">
        <v>0</v>
      </c>
      <c r="M104" s="42">
        <v>0</v>
      </c>
      <c r="N104" s="37"/>
      <c r="O104" s="37"/>
      <c r="P104" s="37"/>
      <c r="Q104" s="37"/>
      <c r="R104" s="42">
        <v>55</v>
      </c>
      <c r="S104" s="44">
        <f t="shared" si="40"/>
        <v>0</v>
      </c>
      <c r="T104" s="33">
        <f t="shared" si="50"/>
        <v>2</v>
      </c>
      <c r="U104" s="33">
        <f t="shared" si="43"/>
        <v>1.3</v>
      </c>
    </row>
    <row r="105" spans="1:21" s="3" customFormat="1" ht="17.25" x14ac:dyDescent="0.25">
      <c r="A105" s="22">
        <f t="shared" si="48"/>
        <v>19</v>
      </c>
      <c r="B105" s="23" t="s">
        <v>94</v>
      </c>
      <c r="C105" s="24">
        <f t="shared" si="52"/>
        <v>16</v>
      </c>
      <c r="D105" s="25">
        <f t="shared" si="46"/>
        <v>7</v>
      </c>
      <c r="E105" s="25">
        <f t="shared" si="47"/>
        <v>9</v>
      </c>
      <c r="F105" s="26">
        <v>7</v>
      </c>
      <c r="G105" s="26"/>
      <c r="H105" s="26">
        <v>1</v>
      </c>
      <c r="I105" s="26">
        <v>9</v>
      </c>
      <c r="J105" s="42">
        <v>0</v>
      </c>
      <c r="K105" s="42">
        <v>0</v>
      </c>
      <c r="L105" s="42">
        <v>0</v>
      </c>
      <c r="M105" s="42">
        <v>0</v>
      </c>
      <c r="N105" s="37"/>
      <c r="O105" s="37"/>
      <c r="P105" s="37"/>
      <c r="Q105" s="37"/>
      <c r="R105" s="42">
        <v>16</v>
      </c>
      <c r="S105" s="44">
        <f t="shared" si="40"/>
        <v>0</v>
      </c>
      <c r="T105" s="33">
        <f t="shared" si="50"/>
        <v>1</v>
      </c>
      <c r="U105" s="33">
        <f t="shared" si="43"/>
        <v>0.65</v>
      </c>
    </row>
    <row r="106" spans="1:21" s="3" customFormat="1" ht="31.5" x14ac:dyDescent="0.25">
      <c r="A106" s="22">
        <f t="shared" si="48"/>
        <v>20</v>
      </c>
      <c r="B106" s="23" t="s">
        <v>92</v>
      </c>
      <c r="C106" s="24">
        <f t="shared" si="52"/>
        <v>18</v>
      </c>
      <c r="D106" s="25">
        <f t="shared" si="46"/>
        <v>18</v>
      </c>
      <c r="E106" s="25">
        <f t="shared" si="47"/>
        <v>0</v>
      </c>
      <c r="F106" s="26">
        <v>18</v>
      </c>
      <c r="G106" s="26"/>
      <c r="H106" s="26"/>
      <c r="I106" s="26"/>
      <c r="J106" s="42">
        <v>0</v>
      </c>
      <c r="K106" s="42">
        <v>0</v>
      </c>
      <c r="L106" s="42">
        <v>0</v>
      </c>
      <c r="M106" s="42">
        <v>0</v>
      </c>
      <c r="N106" s="37"/>
      <c r="O106" s="37"/>
      <c r="P106" s="37"/>
      <c r="Q106" s="37"/>
      <c r="R106" s="42">
        <v>18</v>
      </c>
      <c r="S106" s="44">
        <f t="shared" si="40"/>
        <v>0</v>
      </c>
      <c r="T106" s="33">
        <f t="shared" si="50"/>
        <v>0</v>
      </c>
      <c r="U106" s="33">
        <f t="shared" si="43"/>
        <v>0</v>
      </c>
    </row>
    <row r="107" spans="1:21" s="3" customFormat="1" ht="18" customHeight="1" x14ac:dyDescent="0.25">
      <c r="A107" s="22">
        <f t="shared" si="48"/>
        <v>21</v>
      </c>
      <c r="B107" s="31" t="s">
        <v>96</v>
      </c>
      <c r="C107" s="24">
        <f t="shared" si="52"/>
        <v>3198</v>
      </c>
      <c r="D107" s="25">
        <f t="shared" si="46"/>
        <v>1078</v>
      </c>
      <c r="E107" s="25">
        <f t="shared" si="47"/>
        <v>2120</v>
      </c>
      <c r="F107" s="26">
        <v>48</v>
      </c>
      <c r="G107" s="26">
        <v>1</v>
      </c>
      <c r="H107" s="26">
        <v>1</v>
      </c>
      <c r="I107" s="26">
        <v>6</v>
      </c>
      <c r="J107" s="42">
        <v>208</v>
      </c>
      <c r="K107" s="42">
        <v>87</v>
      </c>
      <c r="L107" s="42">
        <v>822</v>
      </c>
      <c r="M107" s="42">
        <v>2027</v>
      </c>
      <c r="N107" s="37">
        <v>208</v>
      </c>
      <c r="O107" s="37">
        <v>87</v>
      </c>
      <c r="P107" s="37">
        <v>822</v>
      </c>
      <c r="Q107" s="37">
        <v>2027</v>
      </c>
      <c r="R107" s="42">
        <f>+C107-(C107*0.15)</f>
        <v>2718.3</v>
      </c>
      <c r="S107" s="44">
        <f t="shared" si="40"/>
        <v>-479.69999999999982</v>
      </c>
      <c r="T107" s="33">
        <f t="shared" si="50"/>
        <v>2</v>
      </c>
      <c r="U107" s="33">
        <f t="shared" si="43"/>
        <v>1.3</v>
      </c>
    </row>
    <row r="108" spans="1:21" s="3" customFormat="1" ht="31.5" x14ac:dyDescent="0.25">
      <c r="A108" s="22">
        <f t="shared" si="48"/>
        <v>22</v>
      </c>
      <c r="B108" s="23" t="s">
        <v>97</v>
      </c>
      <c r="C108" s="24">
        <f t="shared" si="52"/>
        <v>110</v>
      </c>
      <c r="D108" s="25">
        <f t="shared" si="46"/>
        <v>62</v>
      </c>
      <c r="E108" s="25">
        <f t="shared" si="47"/>
        <v>48</v>
      </c>
      <c r="F108" s="26">
        <v>27</v>
      </c>
      <c r="G108" s="26"/>
      <c r="H108" s="26">
        <v>1</v>
      </c>
      <c r="I108" s="26">
        <v>20</v>
      </c>
      <c r="J108" s="42">
        <v>35</v>
      </c>
      <c r="K108" s="42">
        <v>28</v>
      </c>
      <c r="L108" s="42">
        <v>0</v>
      </c>
      <c r="M108" s="42">
        <v>0</v>
      </c>
      <c r="N108" s="37">
        <v>35</v>
      </c>
      <c r="O108" s="37">
        <v>28</v>
      </c>
      <c r="P108" s="37">
        <v>0</v>
      </c>
      <c r="Q108" s="37">
        <v>0</v>
      </c>
      <c r="R108" s="42">
        <v>110</v>
      </c>
      <c r="S108" s="44">
        <f t="shared" si="40"/>
        <v>0</v>
      </c>
      <c r="T108" s="33">
        <f t="shared" si="50"/>
        <v>1</v>
      </c>
      <c r="U108" s="33">
        <f t="shared" si="43"/>
        <v>0.65</v>
      </c>
    </row>
    <row r="109" spans="1:21" s="3" customFormat="1" ht="31.5" x14ac:dyDescent="0.25">
      <c r="A109" s="22">
        <f t="shared" si="48"/>
        <v>23</v>
      </c>
      <c r="B109" s="31" t="s">
        <v>93</v>
      </c>
      <c r="C109" s="24">
        <f t="shared" ref="C109:C110" si="53">SUM(D109:E109)</f>
        <v>114</v>
      </c>
      <c r="D109" s="25">
        <f t="shared" si="46"/>
        <v>114</v>
      </c>
      <c r="E109" s="25">
        <f t="shared" si="47"/>
        <v>0</v>
      </c>
      <c r="F109" s="26">
        <f>91+23</f>
        <v>114</v>
      </c>
      <c r="G109" s="26">
        <v>1</v>
      </c>
      <c r="H109" s="26">
        <v>2</v>
      </c>
      <c r="I109" s="32"/>
      <c r="J109" s="42">
        <v>0</v>
      </c>
      <c r="K109" s="42">
        <v>0</v>
      </c>
      <c r="L109" s="42">
        <v>0</v>
      </c>
      <c r="M109" s="42">
        <v>0</v>
      </c>
      <c r="N109" s="37"/>
      <c r="O109" s="37"/>
      <c r="P109" s="37"/>
      <c r="Q109" s="37"/>
      <c r="R109" s="42">
        <v>114</v>
      </c>
      <c r="S109" s="44">
        <f t="shared" si="40"/>
        <v>0</v>
      </c>
      <c r="T109" s="33">
        <f t="shared" si="50"/>
        <v>3</v>
      </c>
      <c r="U109" s="33">
        <f t="shared" si="43"/>
        <v>1.9500000000000002</v>
      </c>
    </row>
    <row r="110" spans="1:21" s="3" customFormat="1" ht="31.5" x14ac:dyDescent="0.25">
      <c r="A110" s="22">
        <f t="shared" si="48"/>
        <v>24</v>
      </c>
      <c r="B110" s="23" t="s">
        <v>95</v>
      </c>
      <c r="C110" s="24">
        <f t="shared" si="53"/>
        <v>55</v>
      </c>
      <c r="D110" s="25">
        <f t="shared" si="46"/>
        <v>24</v>
      </c>
      <c r="E110" s="25">
        <f t="shared" si="47"/>
        <v>31</v>
      </c>
      <c r="F110" s="26">
        <v>24</v>
      </c>
      <c r="G110" s="26"/>
      <c r="H110" s="26">
        <v>1</v>
      </c>
      <c r="I110" s="26">
        <v>31</v>
      </c>
      <c r="J110" s="42">
        <v>0</v>
      </c>
      <c r="K110" s="42">
        <v>0</v>
      </c>
      <c r="L110" s="42">
        <v>0</v>
      </c>
      <c r="M110" s="42">
        <v>0</v>
      </c>
      <c r="N110" s="37"/>
      <c r="O110" s="37"/>
      <c r="P110" s="37"/>
      <c r="Q110" s="37"/>
      <c r="R110" s="42">
        <v>55</v>
      </c>
      <c r="S110" s="44">
        <f t="shared" si="40"/>
        <v>0</v>
      </c>
      <c r="T110" s="33">
        <f t="shared" si="50"/>
        <v>1</v>
      </c>
      <c r="U110" s="33">
        <f t="shared" si="43"/>
        <v>0.65</v>
      </c>
    </row>
  </sheetData>
  <mergeCells count="30">
    <mergeCell ref="A2:S2"/>
    <mergeCell ref="B3:D3"/>
    <mergeCell ref="A4:A7"/>
    <mergeCell ref="B4:B7"/>
    <mergeCell ref="C4:C7"/>
    <mergeCell ref="D4:E5"/>
    <mergeCell ref="F4:I5"/>
    <mergeCell ref="J4:M4"/>
    <mergeCell ref="N4:Q4"/>
    <mergeCell ref="R4:R7"/>
    <mergeCell ref="S4:S7"/>
    <mergeCell ref="J5:K5"/>
    <mergeCell ref="L5:M5"/>
    <mergeCell ref="N5:O5"/>
    <mergeCell ref="P5:Q5"/>
    <mergeCell ref="K6:K7"/>
    <mergeCell ref="L6:L7"/>
    <mergeCell ref="M6:M7"/>
    <mergeCell ref="A9:B9"/>
    <mergeCell ref="A38:B38"/>
    <mergeCell ref="D6:D7"/>
    <mergeCell ref="E6:E7"/>
    <mergeCell ref="F6:F7"/>
    <mergeCell ref="G6:H6"/>
    <mergeCell ref="I6:I7"/>
    <mergeCell ref="A39:B39"/>
    <mergeCell ref="A50:B50"/>
    <mergeCell ref="A57:B57"/>
    <mergeCell ref="A86:B86"/>
    <mergeCell ref="J6:J7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61" orientation="landscape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52"/>
  <sheetViews>
    <sheetView view="pageBreakPreview" zoomScale="115" zoomScaleNormal="100" zoomScaleSheetLayoutView="115" zoomScalePageLayoutView="85" workbookViewId="0">
      <selection activeCell="B25" sqref="B25"/>
    </sheetView>
  </sheetViews>
  <sheetFormatPr defaultRowHeight="16.5" outlineLevelCol="1" x14ac:dyDescent="0.25"/>
  <cols>
    <col min="1" max="1" width="4.42578125" style="81" bestFit="1" customWidth="1"/>
    <col min="2" max="2" width="88" style="5" customWidth="1"/>
    <col min="3" max="3" width="13.28515625" style="5" customWidth="1"/>
    <col min="4" max="4" width="11.7109375" style="5" hidden="1" customWidth="1" outlineLevel="1"/>
    <col min="5" max="5" width="10.42578125" style="5" hidden="1" customWidth="1" outlineLevel="1"/>
    <col min="6" max="6" width="11.85546875" style="5" hidden="1" customWidth="1" outlineLevel="1"/>
    <col min="7" max="7" width="12.85546875" style="5" hidden="1" customWidth="1" outlineLevel="1"/>
    <col min="8" max="8" width="12.28515625" style="5" hidden="1" customWidth="1" outlineLevel="1"/>
    <col min="9" max="9" width="10.42578125" style="5" hidden="1" customWidth="1" outlineLevel="1"/>
    <col min="10" max="10" width="11.7109375" style="5" hidden="1" customWidth="1" outlineLevel="1"/>
    <col min="11" max="11" width="9.5703125" style="5" hidden="1" customWidth="1" outlineLevel="1"/>
    <col min="12" max="12" width="11.85546875" style="5" hidden="1" customWidth="1" outlineLevel="1"/>
    <col min="13" max="13" width="10.42578125" style="5" hidden="1" customWidth="1" outlineLevel="1"/>
    <col min="14" max="14" width="14" style="5" hidden="1" customWidth="1" collapsed="1"/>
    <col min="15" max="15" width="15.140625" style="5" hidden="1" customWidth="1"/>
    <col min="16" max="16" width="14" style="5" hidden="1" customWidth="1"/>
    <col min="17" max="17" width="15.140625" style="5" hidden="1" customWidth="1"/>
    <col min="18" max="18" width="4.42578125" style="82" bestFit="1" customWidth="1"/>
    <col min="19" max="19" width="88" style="5" customWidth="1"/>
    <col min="20" max="20" width="13" style="5" customWidth="1"/>
    <col min="21" max="21" width="9.5703125" style="5" customWidth="1"/>
    <col min="22" max="16384" width="9.140625" style="5"/>
  </cols>
  <sheetData>
    <row r="2" spans="1:23" ht="41.25" customHeight="1" x14ac:dyDescent="0.25">
      <c r="A2" s="155" t="s">
        <v>117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3" x14ac:dyDescent="0.25">
      <c r="B3" s="153" t="s">
        <v>108</v>
      </c>
      <c r="C3" s="154"/>
      <c r="D3" s="154"/>
    </row>
    <row r="4" spans="1:23" s="89" customFormat="1" ht="15.75" x14ac:dyDescent="0.25">
      <c r="A4" s="190" t="s">
        <v>124</v>
      </c>
      <c r="B4" s="190"/>
      <c r="C4" s="190"/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160" t="s">
        <v>199</v>
      </c>
      <c r="S4" s="161"/>
      <c r="T4" s="162"/>
      <c r="U4" s="163" t="s">
        <v>120</v>
      </c>
    </row>
    <row r="5" spans="1:23" s="13" customFormat="1" ht="24.75" customHeight="1" x14ac:dyDescent="0.25">
      <c r="A5" s="152" t="s">
        <v>0</v>
      </c>
      <c r="B5" s="151" t="s">
        <v>1</v>
      </c>
      <c r="C5" s="151" t="s">
        <v>112</v>
      </c>
      <c r="D5" s="151" t="s">
        <v>5</v>
      </c>
      <c r="E5" s="151"/>
      <c r="F5" s="152" t="s">
        <v>2</v>
      </c>
      <c r="G5" s="152"/>
      <c r="H5" s="152"/>
      <c r="I5" s="152"/>
      <c r="J5" s="151" t="s">
        <v>111</v>
      </c>
      <c r="K5" s="151"/>
      <c r="L5" s="151"/>
      <c r="M5" s="151"/>
      <c r="N5" s="150" t="s">
        <v>14</v>
      </c>
      <c r="O5" s="150"/>
      <c r="P5" s="150"/>
      <c r="Q5" s="150"/>
      <c r="R5" s="152" t="s">
        <v>0</v>
      </c>
      <c r="S5" s="151" t="s">
        <v>1</v>
      </c>
      <c r="T5" s="151" t="s">
        <v>112</v>
      </c>
      <c r="U5" s="164"/>
    </row>
    <row r="6" spans="1:23" s="13" customFormat="1" ht="27.75" customHeight="1" x14ac:dyDescent="0.25">
      <c r="A6" s="152"/>
      <c r="B6" s="151"/>
      <c r="C6" s="151"/>
      <c r="D6" s="151"/>
      <c r="E6" s="151"/>
      <c r="F6" s="152"/>
      <c r="G6" s="152"/>
      <c r="H6" s="152"/>
      <c r="I6" s="152"/>
      <c r="J6" s="151" t="s">
        <v>121</v>
      </c>
      <c r="K6" s="151"/>
      <c r="L6" s="151" t="s">
        <v>3</v>
      </c>
      <c r="M6" s="151"/>
      <c r="N6" s="150" t="s">
        <v>107</v>
      </c>
      <c r="O6" s="150"/>
      <c r="P6" s="150" t="s">
        <v>3</v>
      </c>
      <c r="Q6" s="150"/>
      <c r="R6" s="152"/>
      <c r="S6" s="151"/>
      <c r="T6" s="151"/>
      <c r="U6" s="164"/>
    </row>
    <row r="7" spans="1:23" s="13" customFormat="1" ht="17.25" hidden="1" x14ac:dyDescent="0.25">
      <c r="A7" s="152"/>
      <c r="B7" s="151"/>
      <c r="C7" s="151"/>
      <c r="D7" s="188" t="s">
        <v>109</v>
      </c>
      <c r="E7" s="188" t="s">
        <v>122</v>
      </c>
      <c r="F7" s="188" t="s">
        <v>109</v>
      </c>
      <c r="G7" s="158" t="s">
        <v>114</v>
      </c>
      <c r="H7" s="158"/>
      <c r="I7" s="188" t="s">
        <v>122</v>
      </c>
      <c r="J7" s="188" t="s">
        <v>109</v>
      </c>
      <c r="K7" s="188" t="s">
        <v>122</v>
      </c>
      <c r="L7" s="188" t="s">
        <v>109</v>
      </c>
      <c r="M7" s="188" t="s">
        <v>122</v>
      </c>
      <c r="N7" s="50"/>
      <c r="O7" s="50"/>
      <c r="P7" s="50"/>
      <c r="Q7" s="50"/>
      <c r="R7" s="152"/>
      <c r="S7" s="151"/>
      <c r="T7" s="151"/>
      <c r="U7" s="164"/>
    </row>
    <row r="8" spans="1:23" s="14" customFormat="1" ht="86.25" hidden="1" x14ac:dyDescent="0.25">
      <c r="A8" s="152"/>
      <c r="B8" s="151"/>
      <c r="C8" s="151"/>
      <c r="D8" s="189"/>
      <c r="E8" s="189"/>
      <c r="F8" s="189"/>
      <c r="G8" s="51" t="s">
        <v>115</v>
      </c>
      <c r="H8" s="51" t="s">
        <v>113</v>
      </c>
      <c r="I8" s="189"/>
      <c r="J8" s="189"/>
      <c r="K8" s="189"/>
      <c r="L8" s="189"/>
      <c r="M8" s="189"/>
      <c r="N8" s="36" t="s">
        <v>109</v>
      </c>
      <c r="O8" s="36" t="s">
        <v>16</v>
      </c>
      <c r="P8" s="36" t="s">
        <v>109</v>
      </c>
      <c r="Q8" s="36" t="s">
        <v>17</v>
      </c>
      <c r="R8" s="152"/>
      <c r="S8" s="151"/>
      <c r="T8" s="151"/>
      <c r="U8" s="165"/>
    </row>
    <row r="9" spans="1:23" s="12" customFormat="1" ht="17.25" x14ac:dyDescent="0.25">
      <c r="A9" s="16"/>
      <c r="B9" s="17" t="s">
        <v>5</v>
      </c>
      <c r="C9" s="18">
        <f>SUM(C10:C152)</f>
        <v>107189.75</v>
      </c>
      <c r="D9" s="18" t="e">
        <f>+#REF!+#REF!+#REF!+#REF!</f>
        <v>#REF!</v>
      </c>
      <c r="E9" s="18" t="e">
        <f>+#REF!+#REF!+#REF!+#REF!</f>
        <v>#REF!</v>
      </c>
      <c r="F9" s="18" t="e">
        <f>+#REF!+#REF!+#REF!+#REF!</f>
        <v>#REF!</v>
      </c>
      <c r="G9" s="18" t="e">
        <f>+#REF!+#REF!+#REF!+#REF!</f>
        <v>#REF!</v>
      </c>
      <c r="H9" s="18" t="e">
        <f>+#REF!+#REF!+#REF!+#REF!</f>
        <v>#REF!</v>
      </c>
      <c r="I9" s="18" t="e">
        <f>+#REF!+#REF!+#REF!+#REF!</f>
        <v>#REF!</v>
      </c>
      <c r="J9" s="18" t="e">
        <f>+#REF!+#REF!+#REF!+#REF!</f>
        <v>#REF!</v>
      </c>
      <c r="K9" s="18" t="e">
        <f>+#REF!+#REF!+#REF!+#REF!</f>
        <v>#REF!</v>
      </c>
      <c r="L9" s="18" t="e">
        <f>+#REF!+#REF!+#REF!+#REF!</f>
        <v>#REF!</v>
      </c>
      <c r="M9" s="18" t="e">
        <f>+#REF!+#REF!+#REF!+#REF!</f>
        <v>#REF!</v>
      </c>
      <c r="N9" s="11" t="e">
        <f>+#REF!+#REF!+#REF!+#REF!</f>
        <v>#REF!</v>
      </c>
      <c r="O9" s="11" t="e">
        <f>+#REF!+#REF!+#REF!+#REF!</f>
        <v>#REF!</v>
      </c>
      <c r="P9" s="11" t="e">
        <f>+#REF!+#REF!+#REF!+#REF!</f>
        <v>#REF!</v>
      </c>
      <c r="Q9" s="11" t="e">
        <f>+#REF!+#REF!+#REF!+#REF!</f>
        <v>#REF!</v>
      </c>
      <c r="R9" s="18"/>
      <c r="S9" s="11"/>
      <c r="T9" s="18">
        <f>SUM(T10:T152)</f>
        <v>97099.512499999983</v>
      </c>
      <c r="U9" s="92">
        <f>SUM(U10:U152)</f>
        <v>-10090.237500000003</v>
      </c>
    </row>
    <row r="10" spans="1:23" s="61" customFormat="1" ht="17.25" x14ac:dyDescent="0.25">
      <c r="A10" s="53">
        <v>1</v>
      </c>
      <c r="B10" s="54" t="s">
        <v>26</v>
      </c>
      <c r="C10" s="24">
        <f t="shared" ref="C10" si="0">SUM(D10:E10)</f>
        <v>1376</v>
      </c>
      <c r="D10" s="55">
        <f t="shared" ref="D10:D13" si="1">SUM(F10,J10,L10)</f>
        <v>1376</v>
      </c>
      <c r="E10" s="55">
        <f t="shared" ref="E10:E13" si="2">SUM(I10,K10,M10)</f>
        <v>0</v>
      </c>
      <c r="F10" s="56">
        <v>310</v>
      </c>
      <c r="G10" s="56">
        <v>2</v>
      </c>
      <c r="H10" s="56">
        <v>6</v>
      </c>
      <c r="I10" s="56"/>
      <c r="J10" s="57">
        <v>292</v>
      </c>
      <c r="K10" s="57">
        <v>0</v>
      </c>
      <c r="L10" s="57">
        <v>774</v>
      </c>
      <c r="M10" s="57">
        <v>0</v>
      </c>
      <c r="N10" s="58">
        <v>605</v>
      </c>
      <c r="O10" s="58"/>
      <c r="P10" s="58">
        <v>973</v>
      </c>
      <c r="Q10" s="58"/>
      <c r="R10" s="53">
        <v>1</v>
      </c>
      <c r="S10" s="54" t="s">
        <v>125</v>
      </c>
      <c r="T10" s="24">
        <f>+C10-(C10*0.15)+28+18</f>
        <v>1215.5999999999999</v>
      </c>
      <c r="U10" s="59">
        <f>+T10-C10</f>
        <v>-160.40000000000009</v>
      </c>
      <c r="V10" s="60">
        <f>+(G10+H10)</f>
        <v>8</v>
      </c>
      <c r="W10" s="60">
        <f>+V10-(V10*0.35)</f>
        <v>5.2</v>
      </c>
    </row>
    <row r="11" spans="1:23" s="3" customFormat="1" ht="17.25" x14ac:dyDescent="0.25">
      <c r="A11" s="53"/>
      <c r="B11" s="52"/>
      <c r="C11" s="24"/>
      <c r="D11" s="25"/>
      <c r="E11" s="25"/>
      <c r="F11" s="26"/>
      <c r="G11" s="26"/>
      <c r="H11" s="26"/>
      <c r="I11" s="26"/>
      <c r="J11" s="42"/>
      <c r="K11" s="42"/>
      <c r="L11" s="42"/>
      <c r="M11" s="42"/>
      <c r="N11" s="37"/>
      <c r="O11" s="37"/>
      <c r="P11" s="37"/>
      <c r="Q11" s="37"/>
      <c r="R11" s="53"/>
      <c r="S11" s="52" t="s">
        <v>123</v>
      </c>
      <c r="T11" s="24"/>
      <c r="U11" s="44"/>
      <c r="V11" s="33"/>
      <c r="W11" s="33"/>
    </row>
    <row r="12" spans="1:23" s="3" customFormat="1" ht="17.25" x14ac:dyDescent="0.25">
      <c r="A12" s="53">
        <f>+A10+1</f>
        <v>2</v>
      </c>
      <c r="B12" s="62" t="s">
        <v>126</v>
      </c>
      <c r="C12" s="24">
        <f t="shared" ref="C12" si="3">SUM(D12:E12)</f>
        <v>55</v>
      </c>
      <c r="D12" s="25">
        <f t="shared" si="1"/>
        <v>55</v>
      </c>
      <c r="E12" s="25">
        <f t="shared" si="2"/>
        <v>0</v>
      </c>
      <c r="F12" s="26">
        <v>55</v>
      </c>
      <c r="G12" s="26">
        <v>1</v>
      </c>
      <c r="H12" s="26">
        <v>2</v>
      </c>
      <c r="I12" s="26"/>
      <c r="J12" s="42">
        <v>0</v>
      </c>
      <c r="K12" s="42">
        <v>0</v>
      </c>
      <c r="L12" s="42">
        <v>0</v>
      </c>
      <c r="M12" s="42">
        <v>0</v>
      </c>
      <c r="N12" s="37"/>
      <c r="O12" s="37"/>
      <c r="P12" s="37"/>
      <c r="Q12" s="37"/>
      <c r="R12" s="53">
        <f>+R10+1</f>
        <v>2</v>
      </c>
      <c r="S12" s="62" t="s">
        <v>126</v>
      </c>
      <c r="T12" s="24">
        <v>55</v>
      </c>
      <c r="U12" s="44">
        <f t="shared" ref="U12" si="4">+T12-C12</f>
        <v>0</v>
      </c>
      <c r="V12" s="33">
        <f t="shared" ref="V12" si="5">+(G12+H12)</f>
        <v>3</v>
      </c>
      <c r="W12" s="33">
        <f t="shared" ref="W12:W13" si="6">+V12-(V12*0.35)</f>
        <v>1.9500000000000002</v>
      </c>
    </row>
    <row r="13" spans="1:23" s="3" customFormat="1" ht="17.25" x14ac:dyDescent="0.25">
      <c r="A13" s="53">
        <f>+A12+1</f>
        <v>3</v>
      </c>
      <c r="B13" s="63" t="s">
        <v>30</v>
      </c>
      <c r="C13" s="24">
        <f t="shared" ref="C13" si="7">SUM(D13:E13)</f>
        <v>470</v>
      </c>
      <c r="D13" s="25">
        <f t="shared" si="1"/>
        <v>470</v>
      </c>
      <c r="E13" s="25">
        <f t="shared" si="2"/>
        <v>0</v>
      </c>
      <c r="F13" s="26">
        <v>84</v>
      </c>
      <c r="G13" s="26">
        <v>1</v>
      </c>
      <c r="H13" s="26">
        <v>2</v>
      </c>
      <c r="I13" s="26"/>
      <c r="J13" s="42">
        <v>386</v>
      </c>
      <c r="K13" s="42">
        <v>0</v>
      </c>
      <c r="L13" s="42">
        <v>0</v>
      </c>
      <c r="M13" s="42">
        <v>0</v>
      </c>
      <c r="N13" s="37">
        <v>386</v>
      </c>
      <c r="O13" s="37">
        <v>0</v>
      </c>
      <c r="P13" s="37">
        <v>0</v>
      </c>
      <c r="Q13" s="37">
        <v>0</v>
      </c>
      <c r="R13" s="53">
        <f>+R12+1</f>
        <v>3</v>
      </c>
      <c r="S13" s="65" t="s">
        <v>127</v>
      </c>
      <c r="T13" s="24">
        <f>+(C13-(C13*0.15))/2</f>
        <v>199.75</v>
      </c>
      <c r="U13" s="44">
        <f>+T13-C13</f>
        <v>-270.25</v>
      </c>
      <c r="V13" s="33">
        <f>+(G13+H13)</f>
        <v>3</v>
      </c>
      <c r="W13" s="33">
        <f t="shared" si="6"/>
        <v>1.9500000000000002</v>
      </c>
    </row>
    <row r="14" spans="1:23" s="3" customFormat="1" ht="17.25" x14ac:dyDescent="0.25">
      <c r="A14" s="53">
        <f t="shared" ref="A14:A17" si="8">+A13+1</f>
        <v>4</v>
      </c>
      <c r="B14" s="62" t="s">
        <v>128</v>
      </c>
      <c r="C14" s="24">
        <f t="shared" ref="C14:C15" si="9">SUM(D14:E14)</f>
        <v>29</v>
      </c>
      <c r="D14" s="25">
        <f t="shared" ref="D14:D15" si="10">SUM(F14,J14,L14)</f>
        <v>29</v>
      </c>
      <c r="E14" s="25">
        <f t="shared" ref="E14:E15" si="11">SUM(I14,K14,M14)</f>
        <v>0</v>
      </c>
      <c r="F14" s="26">
        <v>29</v>
      </c>
      <c r="G14" s="26">
        <v>1</v>
      </c>
      <c r="H14" s="26">
        <v>2</v>
      </c>
      <c r="I14" s="26"/>
      <c r="J14" s="42">
        <v>0</v>
      </c>
      <c r="K14" s="42">
        <v>0</v>
      </c>
      <c r="L14" s="42">
        <v>0</v>
      </c>
      <c r="M14" s="42">
        <v>0</v>
      </c>
      <c r="N14" s="37"/>
      <c r="O14" s="37"/>
      <c r="P14" s="37"/>
      <c r="Q14" s="37"/>
      <c r="R14" s="53">
        <f t="shared" ref="R14:R15" si="12">+R13+1</f>
        <v>4</v>
      </c>
      <c r="S14" s="62" t="s">
        <v>128</v>
      </c>
      <c r="T14" s="24">
        <v>29</v>
      </c>
      <c r="U14" s="44">
        <f>+T14-C14</f>
        <v>0</v>
      </c>
      <c r="V14" s="33">
        <f>+(G14+H14)</f>
        <v>3</v>
      </c>
      <c r="W14" s="33">
        <f t="shared" ref="W14:W15" si="13">+V14-(V14*0.35)</f>
        <v>1.9500000000000002</v>
      </c>
    </row>
    <row r="15" spans="1:23" s="3" customFormat="1" ht="17.25" x14ac:dyDescent="0.25">
      <c r="A15" s="53">
        <f t="shared" si="8"/>
        <v>5</v>
      </c>
      <c r="B15" s="62" t="s">
        <v>129</v>
      </c>
      <c r="C15" s="24">
        <f t="shared" si="9"/>
        <v>28</v>
      </c>
      <c r="D15" s="25">
        <f t="shared" si="10"/>
        <v>28</v>
      </c>
      <c r="E15" s="25">
        <f t="shared" si="11"/>
        <v>0</v>
      </c>
      <c r="F15" s="26">
        <v>28</v>
      </c>
      <c r="G15" s="26">
        <v>0</v>
      </c>
      <c r="H15" s="26">
        <v>2</v>
      </c>
      <c r="I15" s="26"/>
      <c r="J15" s="42">
        <v>0</v>
      </c>
      <c r="K15" s="42">
        <v>0</v>
      </c>
      <c r="L15" s="42">
        <v>0</v>
      </c>
      <c r="M15" s="42">
        <v>0</v>
      </c>
      <c r="N15" s="37"/>
      <c r="O15" s="37"/>
      <c r="P15" s="37"/>
      <c r="Q15" s="37"/>
      <c r="R15" s="53">
        <f t="shared" si="12"/>
        <v>5</v>
      </c>
      <c r="S15" s="62" t="s">
        <v>129</v>
      </c>
      <c r="T15" s="24">
        <v>28</v>
      </c>
      <c r="U15" s="44">
        <f>+T15-C15</f>
        <v>0</v>
      </c>
      <c r="V15" s="33">
        <f>+(G15+H15)</f>
        <v>2</v>
      </c>
      <c r="W15" s="33">
        <f t="shared" si="13"/>
        <v>1.3</v>
      </c>
    </row>
    <row r="16" spans="1:23" s="7" customFormat="1" ht="17.25" x14ac:dyDescent="0.25">
      <c r="A16" s="53">
        <f t="shared" si="8"/>
        <v>6</v>
      </c>
      <c r="B16" s="70" t="s">
        <v>130</v>
      </c>
      <c r="C16" s="24">
        <f t="shared" ref="C16" si="14">SUM(D16:E16)</f>
        <v>37</v>
      </c>
      <c r="D16" s="25">
        <f t="shared" ref="D16:D17" si="15">SUM(F16,J16,L16)</f>
        <v>37</v>
      </c>
      <c r="E16" s="25">
        <f t="shared" ref="E16:E17" si="16">SUM(I16,K16,M16)</f>
        <v>0</v>
      </c>
      <c r="F16" s="26">
        <v>37</v>
      </c>
      <c r="G16" s="26">
        <v>1</v>
      </c>
      <c r="H16" s="26">
        <v>1</v>
      </c>
      <c r="I16" s="26"/>
      <c r="J16" s="42"/>
      <c r="K16" s="42"/>
      <c r="L16" s="42"/>
      <c r="M16" s="42"/>
      <c r="N16" s="37"/>
      <c r="O16" s="37"/>
      <c r="P16" s="37"/>
      <c r="Q16" s="37"/>
      <c r="R16" s="56"/>
      <c r="S16" s="37"/>
      <c r="T16" s="24">
        <v>0</v>
      </c>
      <c r="U16" s="44">
        <f>+T16-C16</f>
        <v>-37</v>
      </c>
      <c r="V16" s="33">
        <f>+(G16+H16)</f>
        <v>2</v>
      </c>
      <c r="W16" s="33">
        <f t="shared" ref="W16:W17" si="17">+V16-(V16*0.35)</f>
        <v>1.3</v>
      </c>
    </row>
    <row r="17" spans="1:28" s="3" customFormat="1" ht="17.25" x14ac:dyDescent="0.25">
      <c r="A17" s="53">
        <f t="shared" si="8"/>
        <v>7</v>
      </c>
      <c r="B17" s="70" t="s">
        <v>198</v>
      </c>
      <c r="C17" s="24">
        <f t="shared" ref="C17" si="18">SUM(D17:E17)</f>
        <v>31</v>
      </c>
      <c r="D17" s="25">
        <f t="shared" si="15"/>
        <v>31</v>
      </c>
      <c r="E17" s="25">
        <f t="shared" si="16"/>
        <v>0</v>
      </c>
      <c r="F17" s="26">
        <v>31</v>
      </c>
      <c r="G17" s="26">
        <v>1</v>
      </c>
      <c r="H17" s="26">
        <v>1</v>
      </c>
      <c r="I17" s="26"/>
      <c r="J17" s="42">
        <v>0</v>
      </c>
      <c r="K17" s="42">
        <v>0</v>
      </c>
      <c r="L17" s="42">
        <v>0</v>
      </c>
      <c r="M17" s="42">
        <v>0</v>
      </c>
      <c r="N17" s="37"/>
      <c r="O17" s="37"/>
      <c r="P17" s="37"/>
      <c r="Q17" s="37"/>
      <c r="R17" s="56"/>
      <c r="S17" s="37"/>
      <c r="T17" s="24">
        <v>0</v>
      </c>
      <c r="U17" s="44">
        <f t="shared" ref="U17" si="19">+T17-C17</f>
        <v>-31</v>
      </c>
      <c r="V17" s="33">
        <f t="shared" ref="V17" si="20">+(G17+H17)</f>
        <v>2</v>
      </c>
      <c r="W17" s="33">
        <f t="shared" si="17"/>
        <v>1.3</v>
      </c>
    </row>
    <row r="18" spans="1:28" s="2" customFormat="1" ht="6.75" customHeight="1" x14ac:dyDescent="0.25">
      <c r="A18" s="73"/>
      <c r="B18" s="74"/>
      <c r="C18" s="19"/>
      <c r="D18" s="75"/>
      <c r="E18" s="75"/>
      <c r="F18" s="76"/>
      <c r="G18" s="76"/>
      <c r="H18" s="76"/>
      <c r="I18" s="76"/>
      <c r="J18" s="77"/>
      <c r="K18" s="77"/>
      <c r="L18" s="77"/>
      <c r="M18" s="77"/>
      <c r="N18" s="78"/>
      <c r="O18" s="78"/>
      <c r="P18" s="78"/>
      <c r="Q18" s="78"/>
      <c r="R18" s="83"/>
      <c r="S18" s="78"/>
      <c r="T18" s="19"/>
      <c r="U18" s="79"/>
      <c r="V18" s="80"/>
      <c r="W18" s="80"/>
    </row>
    <row r="19" spans="1:28" s="3" customFormat="1" ht="17.25" x14ac:dyDescent="0.25">
      <c r="A19" s="53">
        <f>+A17+1</f>
        <v>8</v>
      </c>
      <c r="B19" s="63" t="s">
        <v>18</v>
      </c>
      <c r="C19" s="24">
        <f t="shared" ref="C19:C128" si="21">SUM(D19:E19)</f>
        <v>1917</v>
      </c>
      <c r="D19" s="25">
        <f>SUM(F19,J19,L19)</f>
        <v>1917</v>
      </c>
      <c r="E19" s="25">
        <f>SUM(I19,K19,M19)</f>
        <v>0</v>
      </c>
      <c r="F19" s="26">
        <v>339</v>
      </c>
      <c r="G19" s="26">
        <v>2</v>
      </c>
      <c r="H19" s="26">
        <v>4</v>
      </c>
      <c r="I19" s="26"/>
      <c r="J19" s="42">
        <v>605</v>
      </c>
      <c r="K19" s="42">
        <v>0</v>
      </c>
      <c r="L19" s="42">
        <v>973</v>
      </c>
      <c r="M19" s="42">
        <v>0</v>
      </c>
      <c r="N19" s="37"/>
      <c r="O19" s="37"/>
      <c r="P19" s="37"/>
      <c r="Q19" s="37"/>
      <c r="R19" s="177">
        <f>+R15+1</f>
        <v>6</v>
      </c>
      <c r="S19" s="186" t="s">
        <v>131</v>
      </c>
      <c r="T19" s="170">
        <f>+(C20+C19)-((C19*0.15)+(C20*0.15))-629+26+24</f>
        <v>5708.45</v>
      </c>
      <c r="U19" s="172">
        <f>+T19-C19-C20</f>
        <v>-1688.5500000000002</v>
      </c>
      <c r="V19" s="33">
        <f>+(G19+H19)</f>
        <v>6</v>
      </c>
      <c r="W19" s="33">
        <f t="shared" ref="W19:W128" si="22">+V19-(V19*0.35)</f>
        <v>3.9000000000000004</v>
      </c>
      <c r="Z19" s="33"/>
      <c r="AA19" s="33"/>
    </row>
    <row r="20" spans="1:28" s="3" customFormat="1" ht="17.25" x14ac:dyDescent="0.25">
      <c r="A20" s="53">
        <f>+A19+1</f>
        <v>9</v>
      </c>
      <c r="B20" s="63" t="s">
        <v>19</v>
      </c>
      <c r="C20" s="24">
        <f t="shared" si="21"/>
        <v>5480</v>
      </c>
      <c r="D20" s="25">
        <f t="shared" ref="D20:D128" si="23">SUM(F20,J20,L20)</f>
        <v>3609</v>
      </c>
      <c r="E20" s="25">
        <f t="shared" ref="E20:E126" si="24">SUM(I20,K20,M20)</f>
        <v>1871</v>
      </c>
      <c r="F20" s="26">
        <v>538</v>
      </c>
      <c r="G20" s="26">
        <v>1</v>
      </c>
      <c r="H20" s="26">
        <v>5</v>
      </c>
      <c r="I20" s="26">
        <v>96</v>
      </c>
      <c r="J20" s="42">
        <v>824</v>
      </c>
      <c r="K20" s="42">
        <v>247</v>
      </c>
      <c r="L20" s="42">
        <v>2247</v>
      </c>
      <c r="M20" s="42">
        <v>1528</v>
      </c>
      <c r="N20" s="37">
        <v>824</v>
      </c>
      <c r="O20" s="37">
        <v>247</v>
      </c>
      <c r="P20" s="37">
        <v>2247</v>
      </c>
      <c r="Q20" s="37">
        <v>1528</v>
      </c>
      <c r="R20" s="176"/>
      <c r="S20" s="187"/>
      <c r="T20" s="171"/>
      <c r="U20" s="173"/>
      <c r="V20" s="33">
        <f>+(G20+H20)</f>
        <v>6</v>
      </c>
      <c r="W20" s="33">
        <f t="shared" si="22"/>
        <v>3.9000000000000004</v>
      </c>
      <c r="Z20" s="33"/>
      <c r="AB20" s="33"/>
    </row>
    <row r="21" spans="1:28" s="3" customFormat="1" ht="17.25" x14ac:dyDescent="0.25">
      <c r="A21" s="53"/>
      <c r="B21" s="52"/>
      <c r="C21" s="24"/>
      <c r="D21" s="25"/>
      <c r="E21" s="25"/>
      <c r="F21" s="26"/>
      <c r="G21" s="26"/>
      <c r="H21" s="26"/>
      <c r="I21" s="26"/>
      <c r="J21" s="42"/>
      <c r="K21" s="42"/>
      <c r="L21" s="42"/>
      <c r="M21" s="42"/>
      <c r="N21" s="37"/>
      <c r="O21" s="37"/>
      <c r="P21" s="37"/>
      <c r="Q21" s="37"/>
      <c r="R21" s="53"/>
      <c r="S21" s="52" t="s">
        <v>123</v>
      </c>
      <c r="T21" s="24"/>
      <c r="U21" s="44"/>
      <c r="V21" s="33"/>
      <c r="W21" s="33"/>
      <c r="AB21" s="33"/>
    </row>
    <row r="22" spans="1:28" s="3" customFormat="1" ht="17.25" x14ac:dyDescent="0.25">
      <c r="A22" s="53">
        <f>+A20+1</f>
        <v>10</v>
      </c>
      <c r="B22" s="63" t="s">
        <v>39</v>
      </c>
      <c r="C22" s="24">
        <f t="shared" ref="C22:C24" si="25">SUM(D22:E22)</f>
        <v>11738.5</v>
      </c>
      <c r="D22" s="25">
        <f t="shared" ref="D22:D26" si="26">SUM(F22,J22,L22)</f>
        <v>10344</v>
      </c>
      <c r="E22" s="25">
        <f t="shared" ref="E22:E26" si="27">SUM(I22,K22,M22)</f>
        <v>1394.5</v>
      </c>
      <c r="F22" s="26">
        <v>498</v>
      </c>
      <c r="G22" s="26">
        <v>1</v>
      </c>
      <c r="H22" s="26">
        <v>4</v>
      </c>
      <c r="I22" s="26">
        <v>17</v>
      </c>
      <c r="J22" s="42">
        <v>2554</v>
      </c>
      <c r="K22" s="42">
        <v>70</v>
      </c>
      <c r="L22" s="42">
        <v>7292</v>
      </c>
      <c r="M22" s="42">
        <v>1307.5</v>
      </c>
      <c r="N22" s="37">
        <v>2554</v>
      </c>
      <c r="O22" s="37">
        <v>70</v>
      </c>
      <c r="P22" s="37">
        <v>7292</v>
      </c>
      <c r="Q22" s="37">
        <v>1307.5</v>
      </c>
      <c r="R22" s="56">
        <f>+R19+1</f>
        <v>7</v>
      </c>
      <c r="S22" s="65" t="s">
        <v>132</v>
      </c>
      <c r="T22" s="24">
        <f>+C22-(C22*0.15)</f>
        <v>9977.7250000000004</v>
      </c>
      <c r="U22" s="44">
        <f>+T22-C22</f>
        <v>-1760.7749999999996</v>
      </c>
      <c r="V22" s="33">
        <f>+(G22+H22)</f>
        <v>5</v>
      </c>
      <c r="W22" s="33">
        <f t="shared" ref="W22:W26" si="28">+V22-(V22*0.35)</f>
        <v>3.25</v>
      </c>
    </row>
    <row r="23" spans="1:28" s="7" customFormat="1" ht="17.25" x14ac:dyDescent="0.25">
      <c r="A23" s="53">
        <f>+A22+1</f>
        <v>11</v>
      </c>
      <c r="B23" s="63" t="s">
        <v>98</v>
      </c>
      <c r="C23" s="24">
        <f t="shared" si="25"/>
        <v>0</v>
      </c>
      <c r="D23" s="25">
        <f t="shared" si="26"/>
        <v>0</v>
      </c>
      <c r="E23" s="25">
        <f t="shared" si="27"/>
        <v>0</v>
      </c>
      <c r="F23" s="26"/>
      <c r="G23" s="26"/>
      <c r="H23" s="26"/>
      <c r="I23" s="26"/>
      <c r="J23" s="42"/>
      <c r="K23" s="42"/>
      <c r="L23" s="42"/>
      <c r="M23" s="42"/>
      <c r="N23" s="37"/>
      <c r="O23" s="37"/>
      <c r="P23" s="37"/>
      <c r="Q23" s="37"/>
      <c r="R23" s="56">
        <f>+R22+1</f>
        <v>8</v>
      </c>
      <c r="S23" s="65" t="s">
        <v>133</v>
      </c>
      <c r="T23" s="24">
        <v>0</v>
      </c>
      <c r="U23" s="44">
        <f t="shared" ref="U23:U24" si="29">+T23-C23</f>
        <v>0</v>
      </c>
      <c r="V23" s="33">
        <f>+(G23+H23)</f>
        <v>0</v>
      </c>
      <c r="W23" s="33">
        <f t="shared" si="28"/>
        <v>0</v>
      </c>
    </row>
    <row r="24" spans="1:28" s="3" customFormat="1" ht="17.25" x14ac:dyDescent="0.25">
      <c r="A24" s="53">
        <f t="shared" ref="A24:A26" si="30">+A23+1</f>
        <v>12</v>
      </c>
      <c r="B24" s="63" t="s">
        <v>49</v>
      </c>
      <c r="C24" s="24">
        <f t="shared" si="25"/>
        <v>0</v>
      </c>
      <c r="D24" s="25"/>
      <c r="E24" s="25"/>
      <c r="F24" s="26"/>
      <c r="G24" s="26"/>
      <c r="H24" s="26"/>
      <c r="I24" s="26"/>
      <c r="J24" s="42"/>
      <c r="K24" s="42"/>
      <c r="L24" s="42"/>
      <c r="M24" s="42"/>
      <c r="N24" s="37"/>
      <c r="O24" s="37"/>
      <c r="P24" s="37"/>
      <c r="Q24" s="37"/>
      <c r="R24" s="56">
        <f t="shared" ref="R24:R30" si="31">+R23+1</f>
        <v>9</v>
      </c>
      <c r="S24" s="65" t="s">
        <v>134</v>
      </c>
      <c r="T24" s="24">
        <v>0</v>
      </c>
      <c r="U24" s="44">
        <f t="shared" si="29"/>
        <v>0</v>
      </c>
      <c r="V24" s="33">
        <f>+(G24+H24)</f>
        <v>0</v>
      </c>
      <c r="W24" s="33">
        <f t="shared" si="28"/>
        <v>0</v>
      </c>
    </row>
    <row r="25" spans="1:28" s="7" customFormat="1" ht="17.25" x14ac:dyDescent="0.25">
      <c r="A25" s="53">
        <f t="shared" si="30"/>
        <v>13</v>
      </c>
      <c r="B25" s="63" t="s">
        <v>55</v>
      </c>
      <c r="C25" s="24">
        <f t="shared" ref="C25:C26" si="32">SUM(D25:E25)</f>
        <v>473</v>
      </c>
      <c r="D25" s="25">
        <f t="shared" si="26"/>
        <v>473</v>
      </c>
      <c r="E25" s="25">
        <f t="shared" si="27"/>
        <v>0</v>
      </c>
      <c r="F25" s="26">
        <v>145</v>
      </c>
      <c r="G25" s="26">
        <v>1</v>
      </c>
      <c r="H25" s="26">
        <v>3</v>
      </c>
      <c r="I25" s="26"/>
      <c r="J25" s="42">
        <v>328</v>
      </c>
      <c r="K25" s="42">
        <v>0</v>
      </c>
      <c r="L25" s="42">
        <v>0</v>
      </c>
      <c r="M25" s="42">
        <v>0</v>
      </c>
      <c r="N25" s="37"/>
      <c r="O25" s="37"/>
      <c r="P25" s="37"/>
      <c r="Q25" s="37"/>
      <c r="R25" s="56">
        <f t="shared" si="31"/>
        <v>10</v>
      </c>
      <c r="S25" s="65" t="s">
        <v>55</v>
      </c>
      <c r="T25" s="24">
        <f>+C25-(C25*0.15)</f>
        <v>402.05</v>
      </c>
      <c r="U25" s="44">
        <f>+T25-C25</f>
        <v>-70.949999999999989</v>
      </c>
      <c r="V25" s="33">
        <f>+(G25+H25)</f>
        <v>4</v>
      </c>
      <c r="W25" s="33">
        <f t="shared" si="28"/>
        <v>2.6</v>
      </c>
    </row>
    <row r="26" spans="1:28" s="3" customFormat="1" ht="17.25" x14ac:dyDescent="0.25">
      <c r="A26" s="53">
        <f t="shared" si="30"/>
        <v>14</v>
      </c>
      <c r="B26" s="63" t="s">
        <v>67</v>
      </c>
      <c r="C26" s="24">
        <f t="shared" si="32"/>
        <v>1341</v>
      </c>
      <c r="D26" s="25">
        <f t="shared" si="26"/>
        <v>1341</v>
      </c>
      <c r="E26" s="25">
        <f t="shared" si="27"/>
        <v>0</v>
      </c>
      <c r="F26" s="26">
        <v>111</v>
      </c>
      <c r="G26" s="26">
        <v>1</v>
      </c>
      <c r="H26" s="26">
        <v>1</v>
      </c>
      <c r="I26" s="26"/>
      <c r="J26" s="42">
        <v>224</v>
      </c>
      <c r="K26" s="42">
        <v>0</v>
      </c>
      <c r="L26" s="42">
        <v>1006</v>
      </c>
      <c r="M26" s="42">
        <v>0</v>
      </c>
      <c r="N26" s="37">
        <v>224</v>
      </c>
      <c r="O26" s="37">
        <v>0</v>
      </c>
      <c r="P26" s="37">
        <v>1006</v>
      </c>
      <c r="Q26" s="37">
        <v>0</v>
      </c>
      <c r="R26" s="56">
        <f t="shared" si="31"/>
        <v>11</v>
      </c>
      <c r="S26" s="65" t="s">
        <v>135</v>
      </c>
      <c r="T26" s="24">
        <f>+C26-(C26*0.1)</f>
        <v>1206.9000000000001</v>
      </c>
      <c r="U26" s="44">
        <f t="shared" ref="U26" si="33">+T26-C26</f>
        <v>-134.09999999999991</v>
      </c>
      <c r="V26" s="33">
        <f>+(G26+H26)</f>
        <v>2</v>
      </c>
      <c r="W26" s="33">
        <f t="shared" si="28"/>
        <v>1.3</v>
      </c>
    </row>
    <row r="27" spans="1:28" s="3" customFormat="1" ht="17.25" x14ac:dyDescent="0.25">
      <c r="A27" s="53"/>
      <c r="B27" s="71" t="s">
        <v>136</v>
      </c>
      <c r="C27" s="24"/>
      <c r="D27" s="25"/>
      <c r="E27" s="25"/>
      <c r="F27" s="26"/>
      <c r="G27" s="26"/>
      <c r="H27" s="26"/>
      <c r="I27" s="26"/>
      <c r="J27" s="42"/>
      <c r="K27" s="42"/>
      <c r="L27" s="42"/>
      <c r="M27" s="42"/>
      <c r="N27" s="37"/>
      <c r="O27" s="37"/>
      <c r="P27" s="37"/>
      <c r="Q27" s="37"/>
      <c r="R27" s="56">
        <f t="shared" si="31"/>
        <v>12</v>
      </c>
      <c r="S27" s="71" t="s">
        <v>138</v>
      </c>
      <c r="T27" s="24"/>
      <c r="U27" s="44">
        <f t="shared" ref="U27:U30" si="34">+T27-C27</f>
        <v>0</v>
      </c>
      <c r="V27" s="33"/>
      <c r="W27" s="33"/>
    </row>
    <row r="28" spans="1:28" s="3" customFormat="1" ht="17.25" x14ac:dyDescent="0.25">
      <c r="A28" s="53">
        <f>+A26+1</f>
        <v>15</v>
      </c>
      <c r="B28" s="62" t="s">
        <v>137</v>
      </c>
      <c r="C28" s="24">
        <f t="shared" ref="C28" si="35">SUM(D28:E28)</f>
        <v>55</v>
      </c>
      <c r="D28" s="25">
        <f t="shared" ref="D28:D34" si="36">SUM(F28,J28,L28)</f>
        <v>24</v>
      </c>
      <c r="E28" s="25">
        <f t="shared" ref="E28:E29" si="37">SUM(I28,K28,M28)</f>
        <v>31</v>
      </c>
      <c r="F28" s="26">
        <v>24</v>
      </c>
      <c r="G28" s="26"/>
      <c r="H28" s="26">
        <v>1</v>
      </c>
      <c r="I28" s="26">
        <v>31</v>
      </c>
      <c r="J28" s="42">
        <v>0</v>
      </c>
      <c r="K28" s="42">
        <v>0</v>
      </c>
      <c r="L28" s="42">
        <v>0</v>
      </c>
      <c r="M28" s="42">
        <v>0</v>
      </c>
      <c r="N28" s="37"/>
      <c r="O28" s="37"/>
      <c r="P28" s="37"/>
      <c r="Q28" s="37"/>
      <c r="R28" s="56">
        <f t="shared" si="31"/>
        <v>13</v>
      </c>
      <c r="S28" s="62" t="s">
        <v>137</v>
      </c>
      <c r="T28" s="24">
        <v>55</v>
      </c>
      <c r="U28" s="44">
        <f t="shared" si="34"/>
        <v>0</v>
      </c>
      <c r="V28" s="33">
        <f t="shared" ref="V28:V30" si="38">+(G28+H28)</f>
        <v>1</v>
      </c>
      <c r="W28" s="33">
        <f t="shared" ref="W28:W34" si="39">+V28-(V28*0.35)</f>
        <v>0.65</v>
      </c>
    </row>
    <row r="29" spans="1:28" s="3" customFormat="1" ht="17.25" x14ac:dyDescent="0.25">
      <c r="A29" s="53">
        <f t="shared" ref="A29:A32" si="40">+A28+1</f>
        <v>16</v>
      </c>
      <c r="B29" s="71" t="s">
        <v>139</v>
      </c>
      <c r="C29" s="24">
        <f t="shared" ref="C29" si="41">SUM(D29:E29)</f>
        <v>3198</v>
      </c>
      <c r="D29" s="25">
        <f t="shared" si="36"/>
        <v>1078</v>
      </c>
      <c r="E29" s="25">
        <f t="shared" si="37"/>
        <v>2120</v>
      </c>
      <c r="F29" s="26">
        <v>48</v>
      </c>
      <c r="G29" s="26">
        <v>1</v>
      </c>
      <c r="H29" s="26">
        <v>1</v>
      </c>
      <c r="I29" s="26">
        <v>6</v>
      </c>
      <c r="J29" s="42">
        <v>208</v>
      </c>
      <c r="K29" s="42">
        <v>87</v>
      </c>
      <c r="L29" s="42">
        <v>822</v>
      </c>
      <c r="M29" s="42">
        <v>2027</v>
      </c>
      <c r="N29" s="37">
        <v>208</v>
      </c>
      <c r="O29" s="37">
        <v>87</v>
      </c>
      <c r="P29" s="37">
        <v>822</v>
      </c>
      <c r="Q29" s="37">
        <v>2027</v>
      </c>
      <c r="R29" s="56">
        <f t="shared" si="31"/>
        <v>14</v>
      </c>
      <c r="S29" s="71" t="s">
        <v>139</v>
      </c>
      <c r="T29" s="24">
        <f>+C29-(C29*0.15)</f>
        <v>2718.3</v>
      </c>
      <c r="U29" s="44">
        <f t="shared" si="34"/>
        <v>-479.69999999999982</v>
      </c>
      <c r="V29" s="33">
        <f t="shared" si="38"/>
        <v>2</v>
      </c>
      <c r="W29" s="33">
        <f t="shared" si="39"/>
        <v>1.3</v>
      </c>
    </row>
    <row r="30" spans="1:28" s="3" customFormat="1" ht="17.25" x14ac:dyDescent="0.25">
      <c r="A30" s="53">
        <f t="shared" si="40"/>
        <v>17</v>
      </c>
      <c r="B30" s="71" t="s">
        <v>140</v>
      </c>
      <c r="C30" s="24">
        <f t="shared" ref="C30" si="42">SUM(D30:E30)</f>
        <v>523</v>
      </c>
      <c r="D30" s="25">
        <f t="shared" si="36"/>
        <v>523</v>
      </c>
      <c r="E30" s="25">
        <f>SUM(I30,K30,M30)</f>
        <v>0</v>
      </c>
      <c r="F30" s="26">
        <v>85</v>
      </c>
      <c r="G30" s="26">
        <v>1</v>
      </c>
      <c r="H30" s="26">
        <v>2</v>
      </c>
      <c r="I30" s="26"/>
      <c r="J30" s="42">
        <v>438</v>
      </c>
      <c r="K30" s="42">
        <v>0</v>
      </c>
      <c r="L30" s="42">
        <v>0</v>
      </c>
      <c r="M30" s="42">
        <v>0</v>
      </c>
      <c r="N30" s="37"/>
      <c r="O30" s="37"/>
      <c r="P30" s="37"/>
      <c r="Q30" s="37"/>
      <c r="R30" s="56">
        <f t="shared" si="31"/>
        <v>15</v>
      </c>
      <c r="S30" s="71" t="s">
        <v>140</v>
      </c>
      <c r="T30" s="24">
        <v>523</v>
      </c>
      <c r="U30" s="44">
        <f t="shared" si="34"/>
        <v>0</v>
      </c>
      <c r="V30" s="33">
        <f t="shared" si="38"/>
        <v>3</v>
      </c>
      <c r="W30" s="33">
        <f t="shared" si="39"/>
        <v>1.9500000000000002</v>
      </c>
    </row>
    <row r="31" spans="1:28" s="7" customFormat="1" ht="17.25" x14ac:dyDescent="0.25">
      <c r="A31" s="53">
        <f t="shared" si="40"/>
        <v>18</v>
      </c>
      <c r="B31" s="70" t="s">
        <v>141</v>
      </c>
      <c r="C31" s="24">
        <f t="shared" ref="C31:C32" si="43">SUM(D31:E31)</f>
        <v>26</v>
      </c>
      <c r="D31" s="25">
        <f t="shared" si="36"/>
        <v>26</v>
      </c>
      <c r="E31" s="25">
        <f t="shared" ref="E31:E34" si="44">SUM(I31,K31,M31)</f>
        <v>0</v>
      </c>
      <c r="F31" s="26">
        <v>26</v>
      </c>
      <c r="G31" s="26">
        <v>1</v>
      </c>
      <c r="H31" s="26">
        <v>1</v>
      </c>
      <c r="I31" s="26"/>
      <c r="J31" s="42"/>
      <c r="K31" s="42"/>
      <c r="L31" s="42"/>
      <c r="M31" s="42"/>
      <c r="N31" s="37"/>
      <c r="O31" s="37"/>
      <c r="P31" s="37"/>
      <c r="Q31" s="37"/>
      <c r="R31" s="56"/>
      <c r="S31" s="37"/>
      <c r="T31" s="24"/>
      <c r="U31" s="44">
        <f>+T31-C31</f>
        <v>-26</v>
      </c>
      <c r="V31" s="33">
        <f>+(G31+H31)</f>
        <v>2</v>
      </c>
      <c r="W31" s="33">
        <f t="shared" si="39"/>
        <v>1.3</v>
      </c>
    </row>
    <row r="32" spans="1:28" s="3" customFormat="1" ht="17.25" x14ac:dyDescent="0.25">
      <c r="A32" s="53">
        <f t="shared" si="40"/>
        <v>19</v>
      </c>
      <c r="B32" s="70" t="s">
        <v>142</v>
      </c>
      <c r="C32" s="24">
        <f t="shared" si="43"/>
        <v>24</v>
      </c>
      <c r="D32" s="25">
        <f t="shared" si="36"/>
        <v>24</v>
      </c>
      <c r="E32" s="25">
        <f t="shared" si="44"/>
        <v>0</v>
      </c>
      <c r="F32" s="26">
        <v>24</v>
      </c>
      <c r="G32" s="26">
        <v>1</v>
      </c>
      <c r="H32" s="26">
        <v>1</v>
      </c>
      <c r="I32" s="26"/>
      <c r="J32" s="42">
        <v>0</v>
      </c>
      <c r="K32" s="42">
        <v>0</v>
      </c>
      <c r="L32" s="42">
        <v>0</v>
      </c>
      <c r="M32" s="42">
        <v>0</v>
      </c>
      <c r="N32" s="37"/>
      <c r="O32" s="37"/>
      <c r="P32" s="37"/>
      <c r="Q32" s="37"/>
      <c r="R32" s="56"/>
      <c r="S32" s="37"/>
      <c r="T32" s="24"/>
      <c r="U32" s="44">
        <f>+T32-C32</f>
        <v>-24</v>
      </c>
      <c r="V32" s="33">
        <f>+(G32+H32)</f>
        <v>2</v>
      </c>
      <c r="W32" s="33">
        <f t="shared" si="39"/>
        <v>1.3</v>
      </c>
    </row>
    <row r="33" spans="1:24" s="2" customFormat="1" ht="6.75" customHeight="1" x14ac:dyDescent="0.25">
      <c r="A33" s="73"/>
      <c r="B33" s="74"/>
      <c r="C33" s="19"/>
      <c r="D33" s="75"/>
      <c r="E33" s="75"/>
      <c r="F33" s="76"/>
      <c r="G33" s="76"/>
      <c r="H33" s="76"/>
      <c r="I33" s="76"/>
      <c r="J33" s="77"/>
      <c r="K33" s="77"/>
      <c r="L33" s="77"/>
      <c r="M33" s="77"/>
      <c r="N33" s="78"/>
      <c r="O33" s="78"/>
      <c r="P33" s="78"/>
      <c r="Q33" s="78"/>
      <c r="R33" s="83"/>
      <c r="S33" s="78"/>
      <c r="T33" s="19"/>
      <c r="U33" s="79"/>
      <c r="V33" s="80"/>
      <c r="W33" s="80"/>
    </row>
    <row r="34" spans="1:24" s="3" customFormat="1" ht="17.25" x14ac:dyDescent="0.25">
      <c r="A34" s="53">
        <f>+A32+1</f>
        <v>20</v>
      </c>
      <c r="B34" s="63" t="s">
        <v>143</v>
      </c>
      <c r="C34" s="24">
        <f t="shared" ref="C34" si="45">SUM(D34:E34)</f>
        <v>91</v>
      </c>
      <c r="D34" s="25">
        <f t="shared" si="36"/>
        <v>91</v>
      </c>
      <c r="E34" s="25">
        <f t="shared" si="44"/>
        <v>0</v>
      </c>
      <c r="F34" s="26">
        <v>91</v>
      </c>
      <c r="G34" s="26">
        <v>0</v>
      </c>
      <c r="H34" s="26">
        <v>2</v>
      </c>
      <c r="I34" s="26"/>
      <c r="J34" s="42">
        <v>0</v>
      </c>
      <c r="K34" s="42">
        <v>0</v>
      </c>
      <c r="L34" s="42">
        <v>0</v>
      </c>
      <c r="M34" s="42">
        <v>0</v>
      </c>
      <c r="N34" s="37"/>
      <c r="O34" s="37"/>
      <c r="P34" s="37"/>
      <c r="Q34" s="37"/>
      <c r="R34" s="56">
        <f>+R30+1</f>
        <v>16</v>
      </c>
      <c r="S34" s="64" t="s">
        <v>144</v>
      </c>
      <c r="T34" s="24">
        <v>91</v>
      </c>
      <c r="U34" s="44">
        <f>+T34-C34</f>
        <v>0</v>
      </c>
      <c r="V34" s="33">
        <f>+(G34+H34)</f>
        <v>2</v>
      </c>
      <c r="W34" s="33">
        <f t="shared" si="39"/>
        <v>1.3</v>
      </c>
    </row>
    <row r="35" spans="1:24" s="3" customFormat="1" ht="17.25" x14ac:dyDescent="0.25">
      <c r="A35" s="53"/>
      <c r="B35" s="23"/>
      <c r="C35" s="24"/>
      <c r="D35" s="25"/>
      <c r="E35" s="25"/>
      <c r="F35" s="26"/>
      <c r="G35" s="26"/>
      <c r="H35" s="26"/>
      <c r="I35" s="26"/>
      <c r="J35" s="42"/>
      <c r="K35" s="42"/>
      <c r="L35" s="42"/>
      <c r="M35" s="42"/>
      <c r="N35" s="37"/>
      <c r="O35" s="37"/>
      <c r="P35" s="37"/>
      <c r="Q35" s="37"/>
      <c r="R35" s="53"/>
      <c r="S35" s="52" t="s">
        <v>123</v>
      </c>
      <c r="T35" s="24"/>
      <c r="U35" s="44">
        <f t="shared" ref="U35" si="46">+T35-C35</f>
        <v>0</v>
      </c>
      <c r="V35" s="33"/>
      <c r="W35" s="33"/>
    </row>
    <row r="36" spans="1:24" s="3" customFormat="1" ht="17.25" x14ac:dyDescent="0.25">
      <c r="A36" s="53">
        <f>+A34+1</f>
        <v>21</v>
      </c>
      <c r="B36" s="23" t="s">
        <v>146</v>
      </c>
      <c r="C36" s="24">
        <f t="shared" ref="C36" si="47">SUM(D36:E36)</f>
        <v>89</v>
      </c>
      <c r="D36" s="25">
        <f t="shared" ref="D36:D37" si="48">SUM(F36,J36,L36)</f>
        <v>59</v>
      </c>
      <c r="E36" s="25">
        <f t="shared" ref="E36:E37" si="49">SUM(I36,K36,M36)</f>
        <v>30</v>
      </c>
      <c r="F36" s="26">
        <v>59</v>
      </c>
      <c r="G36" s="26"/>
      <c r="H36" s="26">
        <v>1</v>
      </c>
      <c r="I36" s="26">
        <v>30</v>
      </c>
      <c r="J36" s="42">
        <v>0</v>
      </c>
      <c r="K36" s="42">
        <v>0</v>
      </c>
      <c r="L36" s="42">
        <v>0</v>
      </c>
      <c r="M36" s="42">
        <v>0</v>
      </c>
      <c r="N36" s="37"/>
      <c r="O36" s="37"/>
      <c r="P36" s="37"/>
      <c r="Q36" s="37"/>
      <c r="R36" s="168">
        <f>+R34+1</f>
        <v>17</v>
      </c>
      <c r="S36" s="166" t="s">
        <v>145</v>
      </c>
      <c r="T36" s="170">
        <f>+(C36+C37)-(C37*0.15)</f>
        <v>289.60000000000002</v>
      </c>
      <c r="U36" s="172">
        <f>+T36-C36-C37</f>
        <v>-35.399999999999977</v>
      </c>
      <c r="V36" s="33">
        <f t="shared" ref="V36" si="50">+(G36+H36)</f>
        <v>1</v>
      </c>
      <c r="W36" s="33">
        <f t="shared" ref="W36:W37" si="51">+V36-(V36*0.35)</f>
        <v>0.65</v>
      </c>
    </row>
    <row r="37" spans="1:24" s="3" customFormat="1" ht="17.25" x14ac:dyDescent="0.25">
      <c r="A37" s="53">
        <f>+A36+1</f>
        <v>22</v>
      </c>
      <c r="B37" s="63" t="s">
        <v>43</v>
      </c>
      <c r="C37" s="24">
        <f t="shared" ref="C37" si="52">SUM(D37:E37)</f>
        <v>236</v>
      </c>
      <c r="D37" s="25">
        <f t="shared" si="48"/>
        <v>236</v>
      </c>
      <c r="E37" s="25">
        <f t="shared" si="49"/>
        <v>0</v>
      </c>
      <c r="F37" s="26">
        <v>73</v>
      </c>
      <c r="G37" s="26">
        <v>1</v>
      </c>
      <c r="H37" s="26">
        <v>1</v>
      </c>
      <c r="I37" s="26"/>
      <c r="J37" s="42">
        <v>163</v>
      </c>
      <c r="K37" s="42">
        <v>0</v>
      </c>
      <c r="L37" s="42">
        <v>0</v>
      </c>
      <c r="M37" s="42">
        <v>0</v>
      </c>
      <c r="N37" s="37">
        <v>163</v>
      </c>
      <c r="O37" s="37"/>
      <c r="P37" s="37"/>
      <c r="Q37" s="37"/>
      <c r="R37" s="169"/>
      <c r="S37" s="167"/>
      <c r="T37" s="171"/>
      <c r="U37" s="173"/>
      <c r="V37" s="33">
        <f>+(G37+H37)</f>
        <v>2</v>
      </c>
      <c r="W37" s="33">
        <f t="shared" si="51"/>
        <v>1.3</v>
      </c>
    </row>
    <row r="38" spans="1:24" s="2" customFormat="1" ht="6.75" customHeight="1" x14ac:dyDescent="0.25">
      <c r="A38" s="73"/>
      <c r="B38" s="74"/>
      <c r="C38" s="19"/>
      <c r="D38" s="75"/>
      <c r="E38" s="75"/>
      <c r="F38" s="76"/>
      <c r="G38" s="76"/>
      <c r="H38" s="76"/>
      <c r="I38" s="76"/>
      <c r="J38" s="77"/>
      <c r="K38" s="77"/>
      <c r="L38" s="77"/>
      <c r="M38" s="77"/>
      <c r="N38" s="78"/>
      <c r="O38" s="78"/>
      <c r="P38" s="78"/>
      <c r="Q38" s="78"/>
      <c r="R38" s="83"/>
      <c r="S38" s="78"/>
      <c r="T38" s="19"/>
      <c r="U38" s="79"/>
      <c r="V38" s="80"/>
      <c r="W38" s="80"/>
    </row>
    <row r="39" spans="1:24" s="3" customFormat="1" ht="17.25" x14ac:dyDescent="0.25">
      <c r="A39" s="53">
        <f>+A37+1</f>
        <v>23</v>
      </c>
      <c r="B39" s="63" t="s">
        <v>25</v>
      </c>
      <c r="C39" s="24">
        <f t="shared" ref="C39:C63" si="53">SUM(D39:E39)</f>
        <v>819</v>
      </c>
      <c r="D39" s="25">
        <f t="shared" si="23"/>
        <v>480</v>
      </c>
      <c r="E39" s="25">
        <f t="shared" si="24"/>
        <v>339</v>
      </c>
      <c r="F39" s="26">
        <v>77</v>
      </c>
      <c r="G39" s="26">
        <v>1</v>
      </c>
      <c r="H39" s="26">
        <v>3</v>
      </c>
      <c r="I39" s="26"/>
      <c r="J39" s="42">
        <v>196</v>
      </c>
      <c r="K39" s="42">
        <v>0</v>
      </c>
      <c r="L39" s="42">
        <v>207</v>
      </c>
      <c r="M39" s="42">
        <v>339</v>
      </c>
      <c r="N39" s="38">
        <v>196</v>
      </c>
      <c r="O39" s="38"/>
      <c r="P39" s="38">
        <v>207</v>
      </c>
      <c r="Q39" s="38">
        <v>339</v>
      </c>
      <c r="R39" s="168">
        <f>+R36+1</f>
        <v>18</v>
      </c>
      <c r="S39" s="186" t="s">
        <v>147</v>
      </c>
      <c r="T39" s="170">
        <f>+(C39+C40)-((C39*0.15)+(C40*0.15))</f>
        <v>1476.45</v>
      </c>
      <c r="U39" s="172">
        <f>+T39-C39-C40</f>
        <v>-260.54999999999995</v>
      </c>
      <c r="V39" s="33">
        <f>+(G39+H39)</f>
        <v>4</v>
      </c>
      <c r="W39" s="33">
        <f t="shared" si="22"/>
        <v>2.6</v>
      </c>
    </row>
    <row r="40" spans="1:24" s="3" customFormat="1" ht="17.25" x14ac:dyDescent="0.25">
      <c r="A40" s="53">
        <f>+A39+1</f>
        <v>24</v>
      </c>
      <c r="B40" s="63" t="s">
        <v>32</v>
      </c>
      <c r="C40" s="24">
        <f t="shared" ref="C40" si="54">SUM(D40:E40)</f>
        <v>918</v>
      </c>
      <c r="D40" s="25">
        <f t="shared" ref="D40" si="55">SUM(F40,J40,L40)</f>
        <v>918</v>
      </c>
      <c r="E40" s="25">
        <f t="shared" ref="E40" si="56">SUM(I40,K40,M40)</f>
        <v>0</v>
      </c>
      <c r="F40" s="26">
        <v>98</v>
      </c>
      <c r="G40" s="26">
        <v>1</v>
      </c>
      <c r="H40" s="26">
        <v>2</v>
      </c>
      <c r="I40" s="26"/>
      <c r="J40" s="42">
        <v>820</v>
      </c>
      <c r="K40" s="42">
        <v>0</v>
      </c>
      <c r="L40" s="42">
        <v>0</v>
      </c>
      <c r="M40" s="42">
        <v>0</v>
      </c>
      <c r="N40" s="37">
        <v>820</v>
      </c>
      <c r="O40" s="37"/>
      <c r="P40" s="37"/>
      <c r="Q40" s="37"/>
      <c r="R40" s="176"/>
      <c r="S40" s="187"/>
      <c r="T40" s="171"/>
      <c r="U40" s="173"/>
      <c r="V40" s="33">
        <f>+(G40+H40)</f>
        <v>3</v>
      </c>
      <c r="W40" s="33">
        <f t="shared" ref="W40" si="57">+V40-(V40*0.35)</f>
        <v>1.9500000000000002</v>
      </c>
    </row>
    <row r="41" spans="1:24" s="3" customFormat="1" ht="17.25" x14ac:dyDescent="0.25">
      <c r="A41" s="53"/>
      <c r="B41" s="52" t="s">
        <v>153</v>
      </c>
      <c r="C41" s="24"/>
      <c r="D41" s="25"/>
      <c r="E41" s="25"/>
      <c r="F41" s="26"/>
      <c r="G41" s="26"/>
      <c r="H41" s="26"/>
      <c r="I41" s="26"/>
      <c r="J41" s="42"/>
      <c r="K41" s="42"/>
      <c r="L41" s="42"/>
      <c r="M41" s="42"/>
      <c r="N41" s="38"/>
      <c r="O41" s="38"/>
      <c r="P41" s="38"/>
      <c r="Q41" s="38"/>
      <c r="R41" s="53"/>
      <c r="S41" s="52" t="s">
        <v>123</v>
      </c>
      <c r="T41" s="24"/>
      <c r="U41" s="44"/>
      <c r="V41" s="33"/>
      <c r="W41" s="33"/>
    </row>
    <row r="42" spans="1:24" s="7" customFormat="1" ht="17.25" x14ac:dyDescent="0.25">
      <c r="A42" s="53">
        <f>+A40+1</f>
        <v>25</v>
      </c>
      <c r="B42" s="70" t="s">
        <v>150</v>
      </c>
      <c r="C42" s="24">
        <f t="shared" ref="C42" si="58">SUM(D42:E42)</f>
        <v>34</v>
      </c>
      <c r="D42" s="25">
        <f t="shared" ref="D42" si="59">SUM(F42,J42,L42)</f>
        <v>34</v>
      </c>
      <c r="E42" s="25">
        <f t="shared" ref="E42" si="60">SUM(I42,K42,M42)</f>
        <v>0</v>
      </c>
      <c r="F42" s="26">
        <v>34</v>
      </c>
      <c r="G42" s="26"/>
      <c r="H42" s="26"/>
      <c r="I42" s="26"/>
      <c r="J42" s="42"/>
      <c r="K42" s="42"/>
      <c r="L42" s="42"/>
      <c r="M42" s="42"/>
      <c r="N42" s="37"/>
      <c r="O42" s="37"/>
      <c r="P42" s="37"/>
      <c r="Q42" s="37"/>
      <c r="R42" s="168">
        <f>+R39+1</f>
        <v>19</v>
      </c>
      <c r="S42" s="180" t="s">
        <v>151</v>
      </c>
      <c r="T42" s="170">
        <f>+(C42+C43+C44)-((C42*0.15)+(C43*0.15)+(C44*0.15))</f>
        <v>166.6</v>
      </c>
      <c r="U42" s="172">
        <f>+T42-C42-C43-C44</f>
        <v>-29.400000000000006</v>
      </c>
      <c r="V42" s="33">
        <f t="shared" ref="V42" si="61">+(G42+H42)</f>
        <v>0</v>
      </c>
      <c r="W42" s="33">
        <f t="shared" ref="W42" si="62">+V42-(V42*0.35)</f>
        <v>0</v>
      </c>
    </row>
    <row r="43" spans="1:24" s="3" customFormat="1" ht="17.25" x14ac:dyDescent="0.25">
      <c r="A43" s="53">
        <f>+A42+1</f>
        <v>26</v>
      </c>
      <c r="B43" s="70" t="s">
        <v>148</v>
      </c>
      <c r="C43" s="24">
        <f t="shared" ref="C43:C44" si="63">SUM(D43:E43)</f>
        <v>89</v>
      </c>
      <c r="D43" s="25">
        <f t="shared" ref="D43:D44" si="64">SUM(F43,J43,L43)</f>
        <v>89</v>
      </c>
      <c r="E43" s="25">
        <f t="shared" ref="E43:E44" si="65">SUM(I43,K43,M43)</f>
        <v>0</v>
      </c>
      <c r="F43" s="26">
        <v>89</v>
      </c>
      <c r="G43" s="26"/>
      <c r="H43" s="26"/>
      <c r="I43" s="26"/>
      <c r="J43" s="42">
        <v>0</v>
      </c>
      <c r="K43" s="42">
        <v>0</v>
      </c>
      <c r="L43" s="42">
        <v>0</v>
      </c>
      <c r="M43" s="42">
        <v>0</v>
      </c>
      <c r="N43" s="37"/>
      <c r="O43" s="37"/>
      <c r="P43" s="37"/>
      <c r="Q43" s="37"/>
      <c r="R43" s="185"/>
      <c r="S43" s="181"/>
      <c r="T43" s="183"/>
      <c r="U43" s="184"/>
      <c r="V43" s="33">
        <f t="shared" ref="V43:V44" si="66">+(G43+H43)</f>
        <v>0</v>
      </c>
      <c r="W43" s="33">
        <f t="shared" ref="W43:W44" si="67">+V43-(V43*0.35)</f>
        <v>0</v>
      </c>
    </row>
    <row r="44" spans="1:24" s="3" customFormat="1" ht="17.25" x14ac:dyDescent="0.25">
      <c r="A44" s="53">
        <f>+A43+1</f>
        <v>27</v>
      </c>
      <c r="B44" s="70" t="s">
        <v>149</v>
      </c>
      <c r="C44" s="24">
        <f t="shared" si="63"/>
        <v>73</v>
      </c>
      <c r="D44" s="25">
        <f t="shared" si="64"/>
        <v>73</v>
      </c>
      <c r="E44" s="25">
        <f t="shared" si="65"/>
        <v>0</v>
      </c>
      <c r="F44" s="26">
        <v>73</v>
      </c>
      <c r="G44" s="26"/>
      <c r="H44" s="26"/>
      <c r="I44" s="26"/>
      <c r="J44" s="42">
        <v>0</v>
      </c>
      <c r="K44" s="42">
        <v>0</v>
      </c>
      <c r="L44" s="42">
        <v>0</v>
      </c>
      <c r="M44" s="42">
        <v>0</v>
      </c>
      <c r="N44" s="37"/>
      <c r="O44" s="37"/>
      <c r="P44" s="37"/>
      <c r="Q44" s="37"/>
      <c r="R44" s="169"/>
      <c r="S44" s="182"/>
      <c r="T44" s="171"/>
      <c r="U44" s="173"/>
      <c r="V44" s="33">
        <f t="shared" si="66"/>
        <v>0</v>
      </c>
      <c r="W44" s="33">
        <f t="shared" si="67"/>
        <v>0</v>
      </c>
    </row>
    <row r="45" spans="1:24" s="2" customFormat="1" ht="6.75" customHeight="1" x14ac:dyDescent="0.25">
      <c r="A45" s="73"/>
      <c r="B45" s="74"/>
      <c r="C45" s="19"/>
      <c r="D45" s="75"/>
      <c r="E45" s="75"/>
      <c r="F45" s="76"/>
      <c r="G45" s="76"/>
      <c r="H45" s="76"/>
      <c r="I45" s="76"/>
      <c r="J45" s="77"/>
      <c r="K45" s="77"/>
      <c r="L45" s="77"/>
      <c r="M45" s="77"/>
      <c r="N45" s="78"/>
      <c r="O45" s="78"/>
      <c r="P45" s="78"/>
      <c r="Q45" s="78"/>
      <c r="R45" s="83"/>
      <c r="S45" s="78"/>
      <c r="T45" s="19"/>
      <c r="U45" s="79"/>
      <c r="V45" s="80"/>
      <c r="W45" s="80"/>
    </row>
    <row r="46" spans="1:24" s="3" customFormat="1" ht="17.25" x14ac:dyDescent="0.25">
      <c r="A46" s="53">
        <f>+A44+1</f>
        <v>28</v>
      </c>
      <c r="B46" s="63" t="s">
        <v>21</v>
      </c>
      <c r="C46" s="24">
        <f t="shared" si="53"/>
        <v>3042.25</v>
      </c>
      <c r="D46" s="25">
        <f t="shared" si="23"/>
        <v>1603</v>
      </c>
      <c r="E46" s="25">
        <f t="shared" si="24"/>
        <v>1439.25</v>
      </c>
      <c r="F46" s="26">
        <v>90</v>
      </c>
      <c r="G46" s="26">
        <v>1</v>
      </c>
      <c r="H46" s="26">
        <v>3</v>
      </c>
      <c r="I46" s="26">
        <v>12</v>
      </c>
      <c r="J46" s="42">
        <v>244</v>
      </c>
      <c r="K46" s="42">
        <v>86</v>
      </c>
      <c r="L46" s="42">
        <v>1269</v>
      </c>
      <c r="M46" s="42">
        <v>1341.25</v>
      </c>
      <c r="N46" s="38">
        <v>244</v>
      </c>
      <c r="O46" s="37">
        <v>86</v>
      </c>
      <c r="P46" s="37">
        <v>1269</v>
      </c>
      <c r="Q46" s="37">
        <v>1341.25</v>
      </c>
      <c r="R46" s="168">
        <f>+R42+1</f>
        <v>20</v>
      </c>
      <c r="S46" s="174" t="s">
        <v>152</v>
      </c>
      <c r="T46" s="170">
        <f>+(C46+C47)-((C46*0.15)-(C47*0.15))+629+684</f>
        <v>5344.4624999999996</v>
      </c>
      <c r="U46" s="172">
        <f>+T46-C46-C47</f>
        <v>1045.2124999999996</v>
      </c>
      <c r="V46" s="33">
        <f>+(G46+H46)</f>
        <v>4</v>
      </c>
      <c r="W46" s="33">
        <f t="shared" si="22"/>
        <v>2.6</v>
      </c>
    </row>
    <row r="47" spans="1:24" s="3" customFormat="1" ht="17.25" x14ac:dyDescent="0.25">
      <c r="A47" s="53">
        <f>+A46+1</f>
        <v>29</v>
      </c>
      <c r="B47" s="63" t="s">
        <v>38</v>
      </c>
      <c r="C47" s="24">
        <f t="shared" si="53"/>
        <v>1257</v>
      </c>
      <c r="D47" s="25">
        <f t="shared" si="23"/>
        <v>1257</v>
      </c>
      <c r="E47" s="25">
        <f t="shared" si="24"/>
        <v>0</v>
      </c>
      <c r="F47" s="26">
        <v>54</v>
      </c>
      <c r="G47" s="26">
        <v>1</v>
      </c>
      <c r="H47" s="26">
        <v>2</v>
      </c>
      <c r="I47" s="26"/>
      <c r="J47" s="42">
        <v>168</v>
      </c>
      <c r="K47" s="42">
        <v>0</v>
      </c>
      <c r="L47" s="42">
        <v>1035</v>
      </c>
      <c r="M47" s="42">
        <v>0</v>
      </c>
      <c r="N47" s="37">
        <v>168</v>
      </c>
      <c r="O47" s="37">
        <v>0</v>
      </c>
      <c r="P47" s="37">
        <v>1035</v>
      </c>
      <c r="Q47" s="37">
        <v>0</v>
      </c>
      <c r="R47" s="176"/>
      <c r="S47" s="175"/>
      <c r="T47" s="171"/>
      <c r="U47" s="173"/>
      <c r="V47" s="33">
        <f>+(G47+H47)</f>
        <v>3</v>
      </c>
      <c r="W47" s="33">
        <f t="shared" si="22"/>
        <v>1.9500000000000002</v>
      </c>
    </row>
    <row r="48" spans="1:24" s="3" customFormat="1" ht="17.25" x14ac:dyDescent="0.25">
      <c r="A48" s="53"/>
      <c r="B48" s="23"/>
      <c r="C48" s="24"/>
      <c r="D48" s="25"/>
      <c r="E48" s="25"/>
      <c r="F48" s="26"/>
      <c r="G48" s="26"/>
      <c r="H48" s="26"/>
      <c r="I48" s="26"/>
      <c r="J48" s="42"/>
      <c r="K48" s="42"/>
      <c r="L48" s="42"/>
      <c r="M48" s="42"/>
      <c r="N48" s="37"/>
      <c r="O48" s="37"/>
      <c r="P48" s="37"/>
      <c r="Q48" s="37"/>
      <c r="R48" s="53"/>
      <c r="S48" s="52" t="s">
        <v>123</v>
      </c>
      <c r="T48" s="24"/>
      <c r="U48" s="44"/>
      <c r="V48" s="33"/>
      <c r="W48" s="33"/>
      <c r="X48" s="33"/>
    </row>
    <row r="49" spans="1:23" s="3" customFormat="1" ht="17.25" x14ac:dyDescent="0.25">
      <c r="A49" s="53">
        <f>+A47+1</f>
        <v>30</v>
      </c>
      <c r="B49" s="63" t="s">
        <v>46</v>
      </c>
      <c r="C49" s="24">
        <f t="shared" ref="C49" si="68">SUM(D49:E49)</f>
        <v>9526</v>
      </c>
      <c r="D49" s="25">
        <f t="shared" ref="D49:D52" si="69">SUM(F49,J49,L49)</f>
        <v>9526</v>
      </c>
      <c r="E49" s="25">
        <f t="shared" ref="E49:E52" si="70">SUM(I49,K49,M49)</f>
        <v>0</v>
      </c>
      <c r="F49" s="26">
        <v>49</v>
      </c>
      <c r="G49" s="26">
        <v>1</v>
      </c>
      <c r="H49" s="26">
        <v>2</v>
      </c>
      <c r="I49" s="26"/>
      <c r="J49" s="42">
        <v>168</v>
      </c>
      <c r="K49" s="42">
        <v>0</v>
      </c>
      <c r="L49" s="42">
        <v>9309</v>
      </c>
      <c r="M49" s="42">
        <v>0</v>
      </c>
      <c r="N49" s="37">
        <v>168</v>
      </c>
      <c r="O49" s="37">
        <v>0</v>
      </c>
      <c r="P49" s="37">
        <v>621</v>
      </c>
      <c r="Q49" s="40"/>
      <c r="R49" s="56">
        <f>+R46+1</f>
        <v>21</v>
      </c>
      <c r="S49" s="65" t="s">
        <v>46</v>
      </c>
      <c r="T49" s="24">
        <f>+C49-33</f>
        <v>9493</v>
      </c>
      <c r="U49" s="44">
        <f>+T49-C49</f>
        <v>-33</v>
      </c>
      <c r="V49" s="33">
        <f>+(G49+H49)</f>
        <v>3</v>
      </c>
      <c r="W49" s="33">
        <f t="shared" ref="W49:W52" si="71">+V49-(V49*0.35)</f>
        <v>1.9500000000000002</v>
      </c>
    </row>
    <row r="50" spans="1:23" s="3" customFormat="1" ht="31.5" x14ac:dyDescent="0.25">
      <c r="A50" s="53">
        <f t="shared" ref="A50:A55" si="72">+A49+1</f>
        <v>31</v>
      </c>
      <c r="B50" s="70" t="s">
        <v>57</v>
      </c>
      <c r="C50" s="24">
        <f t="shared" ref="C50:C52" si="73">SUM(D50:E50)</f>
        <v>9581</v>
      </c>
      <c r="D50" s="25">
        <f t="shared" si="69"/>
        <v>9581</v>
      </c>
      <c r="E50" s="25">
        <f t="shared" si="70"/>
        <v>0</v>
      </c>
      <c r="F50" s="26">
        <v>62</v>
      </c>
      <c r="G50" s="26">
        <v>1</v>
      </c>
      <c r="H50" s="26">
        <v>1</v>
      </c>
      <c r="I50" s="26"/>
      <c r="J50" s="42">
        <v>210</v>
      </c>
      <c r="K50" s="42">
        <v>0</v>
      </c>
      <c r="L50" s="42">
        <v>9309</v>
      </c>
      <c r="M50" s="42">
        <v>0</v>
      </c>
      <c r="N50" s="37">
        <v>210</v>
      </c>
      <c r="O50" s="37">
        <v>0</v>
      </c>
      <c r="P50" s="37">
        <v>0</v>
      </c>
      <c r="Q50" s="37">
        <v>0</v>
      </c>
      <c r="R50" s="56">
        <f>+R49+1</f>
        <v>22</v>
      </c>
      <c r="S50" s="65" t="s">
        <v>154</v>
      </c>
      <c r="T50" s="24">
        <f>+C50-41</f>
        <v>9540</v>
      </c>
      <c r="U50" s="44">
        <f t="shared" ref="U50:U51" si="74">+T50-C50</f>
        <v>-41</v>
      </c>
      <c r="V50" s="33">
        <f>+(G50+H50)</f>
        <v>2</v>
      </c>
      <c r="W50" s="33">
        <f t="shared" si="71"/>
        <v>1.3</v>
      </c>
    </row>
    <row r="51" spans="1:23" s="3" customFormat="1" ht="31.5" x14ac:dyDescent="0.25">
      <c r="A51" s="53">
        <f t="shared" si="72"/>
        <v>32</v>
      </c>
      <c r="B51" s="70" t="s">
        <v>76</v>
      </c>
      <c r="C51" s="24">
        <f t="shared" si="73"/>
        <v>185</v>
      </c>
      <c r="D51" s="25">
        <f t="shared" si="69"/>
        <v>152</v>
      </c>
      <c r="E51" s="25">
        <f t="shared" si="70"/>
        <v>33</v>
      </c>
      <c r="F51" s="26">
        <v>152</v>
      </c>
      <c r="G51" s="26">
        <v>1</v>
      </c>
      <c r="H51" s="26">
        <v>1</v>
      </c>
      <c r="I51" s="26">
        <v>33</v>
      </c>
      <c r="J51" s="42">
        <v>0</v>
      </c>
      <c r="K51" s="42">
        <v>0</v>
      </c>
      <c r="L51" s="42">
        <v>0</v>
      </c>
      <c r="M51" s="42">
        <v>0</v>
      </c>
      <c r="N51" s="37"/>
      <c r="O51" s="37"/>
      <c r="P51" s="37"/>
      <c r="Q51" s="37"/>
      <c r="R51" s="56">
        <f>+R50+1</f>
        <v>23</v>
      </c>
      <c r="S51" s="65" t="s">
        <v>155</v>
      </c>
      <c r="T51" s="24">
        <f>+C51-(C51*0.1)</f>
        <v>166.5</v>
      </c>
      <c r="U51" s="44">
        <f t="shared" si="74"/>
        <v>-18.5</v>
      </c>
      <c r="V51" s="33">
        <f>+(G51+H51)</f>
        <v>2</v>
      </c>
      <c r="W51" s="33">
        <f t="shared" si="71"/>
        <v>1.3</v>
      </c>
    </row>
    <row r="52" spans="1:23" s="3" customFormat="1" ht="17.25" x14ac:dyDescent="0.25">
      <c r="A52" s="53">
        <f t="shared" si="72"/>
        <v>33</v>
      </c>
      <c r="B52" s="63" t="s">
        <v>73</v>
      </c>
      <c r="C52" s="24">
        <f t="shared" si="73"/>
        <v>805</v>
      </c>
      <c r="D52" s="25">
        <f t="shared" si="69"/>
        <v>356</v>
      </c>
      <c r="E52" s="25">
        <f t="shared" si="70"/>
        <v>449</v>
      </c>
      <c r="F52" s="26">
        <v>38</v>
      </c>
      <c r="G52" s="26">
        <v>1</v>
      </c>
      <c r="H52" s="26">
        <v>1</v>
      </c>
      <c r="I52" s="26">
        <v>13</v>
      </c>
      <c r="J52" s="42">
        <v>112</v>
      </c>
      <c r="K52" s="42">
        <v>0</v>
      </c>
      <c r="L52" s="42">
        <v>206</v>
      </c>
      <c r="M52" s="42">
        <v>436</v>
      </c>
      <c r="N52" s="37">
        <v>112</v>
      </c>
      <c r="O52" s="37">
        <v>0</v>
      </c>
      <c r="P52" s="37">
        <v>206</v>
      </c>
      <c r="Q52" s="37">
        <v>436</v>
      </c>
      <c r="R52" s="56"/>
      <c r="S52" s="37"/>
      <c r="T52" s="24"/>
      <c r="U52" s="44">
        <f>+T52-C52</f>
        <v>-805</v>
      </c>
      <c r="V52" s="33">
        <f>+(G52+H52)</f>
        <v>2</v>
      </c>
      <c r="W52" s="33">
        <f t="shared" si="71"/>
        <v>1.3</v>
      </c>
    </row>
    <row r="53" spans="1:23" s="2" customFormat="1" ht="6.75" customHeight="1" x14ac:dyDescent="0.25">
      <c r="A53" s="73"/>
      <c r="B53" s="74"/>
      <c r="C53" s="19"/>
      <c r="D53" s="75"/>
      <c r="E53" s="75"/>
      <c r="F53" s="76"/>
      <c r="G53" s="76"/>
      <c r="H53" s="76"/>
      <c r="I53" s="76"/>
      <c r="J53" s="77"/>
      <c r="K53" s="77"/>
      <c r="L53" s="77"/>
      <c r="M53" s="77"/>
      <c r="N53" s="78"/>
      <c r="O53" s="78"/>
      <c r="P53" s="78"/>
      <c r="Q53" s="78"/>
      <c r="R53" s="83"/>
      <c r="S53" s="78"/>
      <c r="T53" s="19"/>
      <c r="U53" s="79"/>
      <c r="V53" s="80"/>
      <c r="W53" s="80"/>
    </row>
    <row r="54" spans="1:23" s="3" customFormat="1" ht="17.25" x14ac:dyDescent="0.25">
      <c r="A54" s="53">
        <f>+A52+1</f>
        <v>34</v>
      </c>
      <c r="B54" s="63" t="s">
        <v>34</v>
      </c>
      <c r="C54" s="24">
        <f t="shared" si="53"/>
        <v>166</v>
      </c>
      <c r="D54" s="25">
        <f t="shared" si="23"/>
        <v>166</v>
      </c>
      <c r="E54" s="25">
        <f t="shared" si="24"/>
        <v>0</v>
      </c>
      <c r="F54" s="26">
        <v>114</v>
      </c>
      <c r="G54" s="26"/>
      <c r="H54" s="26">
        <v>1</v>
      </c>
      <c r="I54" s="26"/>
      <c r="J54" s="42">
        <v>52</v>
      </c>
      <c r="K54" s="42">
        <v>0</v>
      </c>
      <c r="L54" s="42">
        <v>0</v>
      </c>
      <c r="M54" s="42">
        <v>0</v>
      </c>
      <c r="N54" s="38">
        <v>52</v>
      </c>
      <c r="O54" s="37"/>
      <c r="P54" s="37"/>
      <c r="Q54" s="37"/>
      <c r="R54" s="168">
        <f>+R51+1</f>
        <v>24</v>
      </c>
      <c r="S54" s="174" t="s">
        <v>156</v>
      </c>
      <c r="T54" s="170">
        <f>+(C54+C55)-((C54*0.15)+(C55*0.15))+16+36</f>
        <v>480.4</v>
      </c>
      <c r="U54" s="172">
        <f>+T54-C54-C55</f>
        <v>-23.600000000000023</v>
      </c>
      <c r="V54" s="33">
        <f>+(G54+H54)</f>
        <v>1</v>
      </c>
      <c r="W54" s="33">
        <f t="shared" si="22"/>
        <v>0.65</v>
      </c>
    </row>
    <row r="55" spans="1:23" s="3" customFormat="1" ht="17.25" x14ac:dyDescent="0.25">
      <c r="A55" s="53">
        <f t="shared" si="72"/>
        <v>35</v>
      </c>
      <c r="B55" s="63" t="s">
        <v>22</v>
      </c>
      <c r="C55" s="24">
        <f t="shared" si="53"/>
        <v>338</v>
      </c>
      <c r="D55" s="25">
        <f t="shared" si="23"/>
        <v>274</v>
      </c>
      <c r="E55" s="25">
        <f t="shared" si="24"/>
        <v>64</v>
      </c>
      <c r="F55" s="26">
        <v>134</v>
      </c>
      <c r="G55" s="26">
        <v>1</v>
      </c>
      <c r="H55" s="26">
        <v>4</v>
      </c>
      <c r="I55" s="26"/>
      <c r="J55" s="42">
        <v>140</v>
      </c>
      <c r="K55" s="42">
        <v>64</v>
      </c>
      <c r="L55" s="42">
        <v>0</v>
      </c>
      <c r="M55" s="42">
        <v>0</v>
      </c>
      <c r="N55" s="38">
        <v>140</v>
      </c>
      <c r="O55" s="37">
        <f>204-140</f>
        <v>64</v>
      </c>
      <c r="P55" s="37"/>
      <c r="Q55" s="37"/>
      <c r="R55" s="176"/>
      <c r="S55" s="175"/>
      <c r="T55" s="171"/>
      <c r="U55" s="173"/>
      <c r="V55" s="33">
        <f>+(G55+H55)</f>
        <v>5</v>
      </c>
      <c r="W55" s="33">
        <f t="shared" si="22"/>
        <v>3.25</v>
      </c>
    </row>
    <row r="56" spans="1:23" s="3" customFormat="1" ht="17.25" x14ac:dyDescent="0.25">
      <c r="A56" s="53"/>
      <c r="B56" s="23"/>
      <c r="C56" s="24"/>
      <c r="D56" s="25"/>
      <c r="E56" s="25"/>
      <c r="F56" s="26"/>
      <c r="G56" s="26"/>
      <c r="H56" s="26"/>
      <c r="I56" s="26"/>
      <c r="J56" s="42"/>
      <c r="K56" s="42"/>
      <c r="L56" s="42"/>
      <c r="M56" s="42"/>
      <c r="N56" s="38"/>
      <c r="O56" s="37"/>
      <c r="P56" s="37"/>
      <c r="Q56" s="37"/>
      <c r="R56" s="72"/>
      <c r="S56" s="52" t="s">
        <v>123</v>
      </c>
      <c r="T56" s="69"/>
      <c r="U56" s="67"/>
      <c r="V56" s="33"/>
      <c r="W56" s="33"/>
    </row>
    <row r="57" spans="1:23" s="3" customFormat="1" ht="17.25" x14ac:dyDescent="0.25">
      <c r="A57" s="53">
        <f>+A55+1</f>
        <v>36</v>
      </c>
      <c r="B57" s="63" t="s">
        <v>9</v>
      </c>
      <c r="C57" s="24">
        <f t="shared" ref="C57" si="75">SUM(D57:E57)</f>
        <v>132</v>
      </c>
      <c r="D57" s="25">
        <f t="shared" ref="D57:D58" si="76">SUM(F57,J57,L57)</f>
        <v>132</v>
      </c>
      <c r="E57" s="25">
        <f t="shared" ref="E57:E58" si="77">SUM(I57,K57,M57)</f>
        <v>0</v>
      </c>
      <c r="F57" s="26">
        <v>80</v>
      </c>
      <c r="G57" s="26">
        <v>1</v>
      </c>
      <c r="H57" s="26">
        <v>2</v>
      </c>
      <c r="I57" s="26"/>
      <c r="J57" s="42">
        <v>52</v>
      </c>
      <c r="K57" s="42">
        <v>0</v>
      </c>
      <c r="L57" s="42">
        <v>0</v>
      </c>
      <c r="M57" s="42">
        <v>0</v>
      </c>
      <c r="N57" s="37">
        <v>52</v>
      </c>
      <c r="O57" s="37">
        <v>0</v>
      </c>
      <c r="P57" s="37">
        <v>0</v>
      </c>
      <c r="Q57" s="37">
        <v>0</v>
      </c>
      <c r="R57" s="56">
        <f>+R54+1</f>
        <v>25</v>
      </c>
      <c r="S57" s="65" t="s">
        <v>157</v>
      </c>
      <c r="T57" s="24">
        <f>+C57-(C57*0.1)</f>
        <v>118.8</v>
      </c>
      <c r="U57" s="44">
        <f>+T57-C57</f>
        <v>-13.200000000000003</v>
      </c>
      <c r="V57" s="33">
        <f>+(G57+H57)</f>
        <v>3</v>
      </c>
      <c r="W57" s="33">
        <f t="shared" ref="W57:W58" si="78">+V57-(V57*0.35)</f>
        <v>1.9500000000000002</v>
      </c>
    </row>
    <row r="58" spans="1:23" s="3" customFormat="1" ht="17.25" x14ac:dyDescent="0.25">
      <c r="A58" s="53">
        <f>+A57+1</f>
        <v>37</v>
      </c>
      <c r="B58" s="63" t="s">
        <v>90</v>
      </c>
      <c r="C58" s="24">
        <f t="shared" ref="C58" si="79">SUM(D58:E58)</f>
        <v>158</v>
      </c>
      <c r="D58" s="25">
        <f t="shared" si="76"/>
        <v>158</v>
      </c>
      <c r="E58" s="25">
        <f t="shared" si="77"/>
        <v>0</v>
      </c>
      <c r="F58" s="26">
        <v>107</v>
      </c>
      <c r="G58" s="26">
        <v>1</v>
      </c>
      <c r="H58" s="26">
        <v>1</v>
      </c>
      <c r="I58" s="26"/>
      <c r="J58" s="42">
        <v>51</v>
      </c>
      <c r="K58" s="42">
        <v>0</v>
      </c>
      <c r="L58" s="42">
        <v>0</v>
      </c>
      <c r="M58" s="42">
        <v>0</v>
      </c>
      <c r="N58" s="37">
        <v>51</v>
      </c>
      <c r="O58" s="37"/>
      <c r="P58" s="37"/>
      <c r="Q58" s="37"/>
      <c r="R58" s="56">
        <f>+R57+1</f>
        <v>26</v>
      </c>
      <c r="S58" s="65" t="s">
        <v>158</v>
      </c>
      <c r="T58" s="24">
        <f>+C58-(C58*0.1)</f>
        <v>142.19999999999999</v>
      </c>
      <c r="U58" s="44">
        <f t="shared" ref="U58" si="80">+T58-C58</f>
        <v>-15.800000000000011</v>
      </c>
      <c r="V58" s="33">
        <f t="shared" ref="V58" si="81">+(G58+H58)</f>
        <v>2</v>
      </c>
      <c r="W58" s="33">
        <f t="shared" si="78"/>
        <v>1.3</v>
      </c>
    </row>
    <row r="59" spans="1:23" s="3" customFormat="1" ht="17.25" x14ac:dyDescent="0.25">
      <c r="A59" s="53">
        <f>+A58+1</f>
        <v>38</v>
      </c>
      <c r="B59" s="63" t="s">
        <v>94</v>
      </c>
      <c r="C59" s="24">
        <f>SUM(D59:E59)</f>
        <v>16</v>
      </c>
      <c r="D59" s="25">
        <f>SUM(F59,J59,L59)</f>
        <v>7</v>
      </c>
      <c r="E59" s="25">
        <f>SUM(I59,K59,M59)</f>
        <v>9</v>
      </c>
      <c r="F59" s="26">
        <v>7</v>
      </c>
      <c r="G59" s="26"/>
      <c r="H59" s="26">
        <v>1</v>
      </c>
      <c r="I59" s="26">
        <v>9</v>
      </c>
      <c r="J59" s="42">
        <v>0</v>
      </c>
      <c r="K59" s="42">
        <v>0</v>
      </c>
      <c r="L59" s="42">
        <v>0</v>
      </c>
      <c r="M59" s="42">
        <v>0</v>
      </c>
      <c r="N59" s="37"/>
      <c r="O59" s="37"/>
      <c r="P59" s="37"/>
      <c r="Q59" s="37"/>
      <c r="R59" s="56"/>
      <c r="S59" s="37"/>
      <c r="T59" s="24">
        <v>0</v>
      </c>
      <c r="U59" s="44">
        <f>+T59-C59</f>
        <v>-16</v>
      </c>
      <c r="V59" s="33">
        <f>+(G59+H59)</f>
        <v>1</v>
      </c>
      <c r="W59" s="33">
        <f>+V59-(V59*0.35)</f>
        <v>0.65</v>
      </c>
    </row>
    <row r="60" spans="1:23" s="2" customFormat="1" ht="6.75" customHeight="1" x14ac:dyDescent="0.25">
      <c r="A60" s="73"/>
      <c r="B60" s="74"/>
      <c r="C60" s="19"/>
      <c r="D60" s="75"/>
      <c r="E60" s="75"/>
      <c r="F60" s="76"/>
      <c r="G60" s="76"/>
      <c r="H60" s="76"/>
      <c r="I60" s="76"/>
      <c r="J60" s="77"/>
      <c r="K60" s="77"/>
      <c r="L60" s="77"/>
      <c r="M60" s="77"/>
      <c r="N60" s="78"/>
      <c r="O60" s="78"/>
      <c r="P60" s="78"/>
      <c r="Q60" s="78"/>
      <c r="R60" s="83"/>
      <c r="S60" s="78"/>
      <c r="T60" s="19"/>
      <c r="U60" s="79"/>
      <c r="V60" s="80"/>
      <c r="W60" s="80"/>
    </row>
    <row r="61" spans="1:23" s="61" customFormat="1" ht="17.25" x14ac:dyDescent="0.25">
      <c r="A61" s="53">
        <f>+A59+1</f>
        <v>39</v>
      </c>
      <c r="B61" s="54" t="s">
        <v>23</v>
      </c>
      <c r="C61" s="24">
        <f t="shared" si="53"/>
        <v>4857.5</v>
      </c>
      <c r="D61" s="55">
        <f t="shared" si="23"/>
        <v>1764</v>
      </c>
      <c r="E61" s="55">
        <f t="shared" si="24"/>
        <v>3093.5</v>
      </c>
      <c r="F61" s="56">
        <v>200</v>
      </c>
      <c r="G61" s="56">
        <v>1</v>
      </c>
      <c r="H61" s="56">
        <v>4</v>
      </c>
      <c r="I61" s="56"/>
      <c r="J61" s="57">
        <v>614</v>
      </c>
      <c r="K61" s="57">
        <v>126</v>
      </c>
      <c r="L61" s="57">
        <v>950</v>
      </c>
      <c r="M61" s="57">
        <v>2967.5</v>
      </c>
      <c r="N61" s="58">
        <v>614</v>
      </c>
      <c r="O61" s="58">
        <v>126</v>
      </c>
      <c r="P61" s="58">
        <v>950</v>
      </c>
      <c r="Q61" s="58">
        <v>2967.5</v>
      </c>
      <c r="R61" s="56">
        <f>+R58+1</f>
        <v>27</v>
      </c>
      <c r="S61" s="54" t="s">
        <v>23</v>
      </c>
      <c r="T61" s="24">
        <f>+C61-(C61*0.15)+36</f>
        <v>4164.875</v>
      </c>
      <c r="U61" s="59">
        <f>+T61-C61</f>
        <v>-692.625</v>
      </c>
      <c r="V61" s="60">
        <f>+(G61+H61)</f>
        <v>5</v>
      </c>
      <c r="W61" s="60">
        <f t="shared" si="22"/>
        <v>3.25</v>
      </c>
    </row>
    <row r="62" spans="1:23" s="3" customFormat="1" ht="17.25" x14ac:dyDescent="0.25">
      <c r="A62" s="53"/>
      <c r="B62" s="23"/>
      <c r="C62" s="24"/>
      <c r="D62" s="25"/>
      <c r="E62" s="25"/>
      <c r="F62" s="26"/>
      <c r="G62" s="26"/>
      <c r="H62" s="26"/>
      <c r="I62" s="26"/>
      <c r="J62" s="42"/>
      <c r="K62" s="42"/>
      <c r="L62" s="42"/>
      <c r="M62" s="42"/>
      <c r="N62" s="37"/>
      <c r="O62" s="37"/>
      <c r="P62" s="37"/>
      <c r="Q62" s="37"/>
      <c r="R62" s="53"/>
      <c r="S62" s="52" t="s">
        <v>123</v>
      </c>
      <c r="T62" s="24"/>
      <c r="U62" s="44"/>
      <c r="V62" s="33"/>
      <c r="W62" s="33"/>
    </row>
    <row r="63" spans="1:23" s="3" customFormat="1" ht="17.25" x14ac:dyDescent="0.25">
      <c r="A63" s="53">
        <f>+A61+1</f>
        <v>40</v>
      </c>
      <c r="B63" s="63" t="s">
        <v>33</v>
      </c>
      <c r="C63" s="24">
        <f t="shared" si="53"/>
        <v>2446.5</v>
      </c>
      <c r="D63" s="25">
        <f t="shared" si="23"/>
        <v>1975.5</v>
      </c>
      <c r="E63" s="25">
        <f t="shared" si="24"/>
        <v>471</v>
      </c>
      <c r="F63" s="26">
        <v>142</v>
      </c>
      <c r="G63" s="26">
        <v>1</v>
      </c>
      <c r="H63" s="26">
        <v>2</v>
      </c>
      <c r="I63" s="26"/>
      <c r="J63" s="42">
        <v>406</v>
      </c>
      <c r="K63" s="42">
        <v>58</v>
      </c>
      <c r="L63" s="42">
        <v>1427.5</v>
      </c>
      <c r="M63" s="42">
        <v>413</v>
      </c>
      <c r="N63" s="37">
        <v>406</v>
      </c>
      <c r="O63" s="37">
        <v>58</v>
      </c>
      <c r="P63" s="37">
        <v>1427.5</v>
      </c>
      <c r="Q63" s="37">
        <v>413</v>
      </c>
      <c r="R63" s="56">
        <f>+R61+1</f>
        <v>28</v>
      </c>
      <c r="S63" s="65" t="s">
        <v>159</v>
      </c>
      <c r="T63" s="24">
        <f>+C63</f>
        <v>2446.5</v>
      </c>
      <c r="U63" s="44">
        <f>+T63-C63</f>
        <v>0</v>
      </c>
      <c r="V63" s="33">
        <f>+(G63+H63)</f>
        <v>3</v>
      </c>
      <c r="W63" s="33">
        <f t="shared" si="22"/>
        <v>1.9500000000000002</v>
      </c>
    </row>
    <row r="64" spans="1:23" s="2" customFormat="1" ht="6.75" customHeight="1" x14ac:dyDescent="0.25">
      <c r="A64" s="73"/>
      <c r="B64" s="74"/>
      <c r="C64" s="19"/>
      <c r="D64" s="75"/>
      <c r="E64" s="75"/>
      <c r="F64" s="76"/>
      <c r="G64" s="76"/>
      <c r="H64" s="76"/>
      <c r="I64" s="76"/>
      <c r="J64" s="77"/>
      <c r="K64" s="77"/>
      <c r="L64" s="77"/>
      <c r="M64" s="77"/>
      <c r="N64" s="78"/>
      <c r="O64" s="78"/>
      <c r="P64" s="78"/>
      <c r="Q64" s="78"/>
      <c r="R64" s="83"/>
      <c r="S64" s="78"/>
      <c r="T64" s="19"/>
      <c r="U64" s="79"/>
      <c r="V64" s="80"/>
      <c r="W64" s="80"/>
    </row>
    <row r="65" spans="1:24" s="3" customFormat="1" ht="17.25" x14ac:dyDescent="0.25">
      <c r="A65" s="53">
        <f>+A63+1</f>
        <v>41</v>
      </c>
      <c r="B65" s="63" t="s">
        <v>41</v>
      </c>
      <c r="C65" s="24">
        <f>SUM(D65:E65)</f>
        <v>1689</v>
      </c>
      <c r="D65" s="25">
        <f>SUM(F65,J65,L65)</f>
        <v>1689</v>
      </c>
      <c r="E65" s="25">
        <f>SUM(I65,K65,M65)</f>
        <v>0</v>
      </c>
      <c r="F65" s="26">
        <v>83</v>
      </c>
      <c r="G65" s="26">
        <v>1</v>
      </c>
      <c r="H65" s="26">
        <v>2</v>
      </c>
      <c r="I65" s="26"/>
      <c r="J65" s="42">
        <v>365</v>
      </c>
      <c r="K65" s="42">
        <v>0</v>
      </c>
      <c r="L65" s="42">
        <v>1241</v>
      </c>
      <c r="M65" s="42">
        <v>0</v>
      </c>
      <c r="N65" s="37">
        <v>859</v>
      </c>
      <c r="O65" s="37"/>
      <c r="P65" s="37">
        <v>760</v>
      </c>
      <c r="Q65" s="37"/>
      <c r="R65" s="56">
        <f>+R63+1</f>
        <v>29</v>
      </c>
      <c r="S65" s="64" t="s">
        <v>160</v>
      </c>
      <c r="T65" s="24">
        <f>+C65-(C65*0.15)+15</f>
        <v>1450.65</v>
      </c>
      <c r="U65" s="44">
        <f>+T65-C65</f>
        <v>-238.34999999999991</v>
      </c>
      <c r="V65" s="33">
        <f>+(G65+H65)</f>
        <v>3</v>
      </c>
      <c r="W65" s="33">
        <f>+V65-(V65*0.35)</f>
        <v>1.9500000000000002</v>
      </c>
    </row>
    <row r="66" spans="1:24" s="3" customFormat="1" ht="17.25" x14ac:dyDescent="0.25">
      <c r="A66" s="53"/>
      <c r="B66" s="23"/>
      <c r="C66" s="24"/>
      <c r="D66" s="25"/>
      <c r="E66" s="25"/>
      <c r="F66" s="26"/>
      <c r="G66" s="26"/>
      <c r="H66" s="26"/>
      <c r="I66" s="26"/>
      <c r="J66" s="42"/>
      <c r="K66" s="42"/>
      <c r="L66" s="42"/>
      <c r="M66" s="42"/>
      <c r="N66" s="37"/>
      <c r="O66" s="37"/>
      <c r="P66" s="37"/>
      <c r="Q66" s="37"/>
      <c r="R66" s="56"/>
      <c r="S66" s="52" t="s">
        <v>123</v>
      </c>
      <c r="T66" s="24"/>
      <c r="U66" s="44"/>
      <c r="V66" s="33"/>
      <c r="W66" s="33"/>
    </row>
    <row r="67" spans="1:24" s="3" customFormat="1" ht="17.25" x14ac:dyDescent="0.25">
      <c r="A67" s="53">
        <f>+A65+1</f>
        <v>42</v>
      </c>
      <c r="B67" s="63" t="s">
        <v>44</v>
      </c>
      <c r="C67" s="24">
        <f t="shared" ref="C67" si="82">SUM(D67:E67)</f>
        <v>154</v>
      </c>
      <c r="D67" s="25">
        <f t="shared" ref="D67" si="83">SUM(F67,J67,L67)</f>
        <v>154</v>
      </c>
      <c r="E67" s="25">
        <f t="shared" ref="E67" si="84">SUM(I67,K67,M67)</f>
        <v>0</v>
      </c>
      <c r="F67" s="26">
        <v>74</v>
      </c>
      <c r="G67" s="26">
        <v>0</v>
      </c>
      <c r="H67" s="26">
        <v>3</v>
      </c>
      <c r="I67" s="26"/>
      <c r="J67" s="42">
        <v>80</v>
      </c>
      <c r="K67" s="42">
        <v>0</v>
      </c>
      <c r="L67" s="42">
        <v>0</v>
      </c>
      <c r="M67" s="42">
        <v>0</v>
      </c>
      <c r="N67" s="37">
        <v>80</v>
      </c>
      <c r="O67" s="37"/>
      <c r="P67" s="37"/>
      <c r="Q67" s="37"/>
      <c r="R67" s="56">
        <f>+R65+1</f>
        <v>30</v>
      </c>
      <c r="S67" s="65" t="s">
        <v>161</v>
      </c>
      <c r="T67" s="24">
        <f>+C67</f>
        <v>154</v>
      </c>
      <c r="U67" s="44">
        <f>+T67-C67</f>
        <v>0</v>
      </c>
      <c r="V67" s="33">
        <f>+(G67+H67)</f>
        <v>3</v>
      </c>
      <c r="W67" s="33">
        <f t="shared" ref="W67" si="85">+V67-(V67*0.35)</f>
        <v>1.9500000000000002</v>
      </c>
    </row>
    <row r="68" spans="1:24" s="3" customFormat="1" ht="17.25" x14ac:dyDescent="0.25">
      <c r="A68" s="53">
        <f>+A67+1</f>
        <v>43</v>
      </c>
      <c r="B68" s="63" t="s">
        <v>89</v>
      </c>
      <c r="C68" s="24">
        <f>SUM(D68:E68)</f>
        <v>1784</v>
      </c>
      <c r="D68" s="25">
        <f>SUM(F68,J68,L68)</f>
        <v>46</v>
      </c>
      <c r="E68" s="25">
        <f>SUM(I68,K68,M68)</f>
        <v>1738</v>
      </c>
      <c r="F68" s="26">
        <v>18</v>
      </c>
      <c r="G68" s="26">
        <v>1</v>
      </c>
      <c r="H68" s="26">
        <v>2</v>
      </c>
      <c r="I68" s="26">
        <v>262</v>
      </c>
      <c r="J68" s="42">
        <v>28</v>
      </c>
      <c r="K68" s="42">
        <v>1476</v>
      </c>
      <c r="L68" s="42">
        <v>0</v>
      </c>
      <c r="M68" s="42">
        <v>0</v>
      </c>
      <c r="N68" s="37">
        <v>28</v>
      </c>
      <c r="O68" s="37">
        <v>1476</v>
      </c>
      <c r="P68" s="37"/>
      <c r="Q68" s="37"/>
      <c r="R68" s="56">
        <f>+R67+1</f>
        <v>31</v>
      </c>
      <c r="S68" s="65" t="s">
        <v>162</v>
      </c>
      <c r="T68" s="24">
        <f>+C68-(C68*0.15)</f>
        <v>1516.4</v>
      </c>
      <c r="U68" s="44">
        <f>+T68-C68</f>
        <v>-267.59999999999991</v>
      </c>
      <c r="V68" s="33">
        <f>+(G68+H68)</f>
        <v>3</v>
      </c>
      <c r="W68" s="33">
        <f>+V68-(V68*0.35)</f>
        <v>1.9500000000000002</v>
      </c>
    </row>
    <row r="69" spans="1:24" s="2" customFormat="1" ht="6.75" customHeight="1" x14ac:dyDescent="0.25">
      <c r="A69" s="73"/>
      <c r="B69" s="74"/>
      <c r="C69" s="19"/>
      <c r="D69" s="75"/>
      <c r="E69" s="75"/>
      <c r="F69" s="76"/>
      <c r="G69" s="76"/>
      <c r="H69" s="76"/>
      <c r="I69" s="76"/>
      <c r="J69" s="77"/>
      <c r="K69" s="77"/>
      <c r="L69" s="77"/>
      <c r="M69" s="77"/>
      <c r="N69" s="78"/>
      <c r="O69" s="78"/>
      <c r="P69" s="78"/>
      <c r="Q69" s="78"/>
      <c r="R69" s="83"/>
      <c r="S69" s="78"/>
      <c r="T69" s="19"/>
      <c r="U69" s="79"/>
      <c r="V69" s="80"/>
      <c r="W69" s="80"/>
    </row>
    <row r="70" spans="1:24" s="61" customFormat="1" ht="17.25" x14ac:dyDescent="0.25">
      <c r="A70" s="53">
        <f>+A68+1</f>
        <v>44</v>
      </c>
      <c r="B70" s="54" t="s">
        <v>31</v>
      </c>
      <c r="C70" s="24">
        <f>SUM(D70:E70)</f>
        <v>670</v>
      </c>
      <c r="D70" s="55">
        <f>SUM(F70,J70,L70)</f>
        <v>670</v>
      </c>
      <c r="E70" s="55">
        <f>SUM(I70,K70,M70)</f>
        <v>0</v>
      </c>
      <c r="F70" s="56">
        <v>76</v>
      </c>
      <c r="G70" s="56">
        <v>1</v>
      </c>
      <c r="H70" s="56">
        <v>2</v>
      </c>
      <c r="I70" s="56"/>
      <c r="J70" s="57">
        <v>208</v>
      </c>
      <c r="K70" s="57">
        <v>0</v>
      </c>
      <c r="L70" s="57">
        <v>386</v>
      </c>
      <c r="M70" s="57">
        <v>0</v>
      </c>
      <c r="N70" s="58">
        <v>208</v>
      </c>
      <c r="O70" s="58">
        <v>0</v>
      </c>
      <c r="P70" s="58">
        <v>386</v>
      </c>
      <c r="Q70" s="58">
        <v>0</v>
      </c>
      <c r="R70" s="56">
        <f>+R68+1</f>
        <v>32</v>
      </c>
      <c r="S70" s="54" t="s">
        <v>180</v>
      </c>
      <c r="T70" s="24">
        <v>570</v>
      </c>
      <c r="U70" s="59">
        <f>+T70-C70</f>
        <v>-100</v>
      </c>
      <c r="V70" s="60">
        <f>+(G70+H70)</f>
        <v>3</v>
      </c>
      <c r="W70" s="60">
        <f>+V70-(V70*0.35)</f>
        <v>1.9500000000000002</v>
      </c>
    </row>
    <row r="71" spans="1:24" s="3" customFormat="1" ht="17.25" x14ac:dyDescent="0.25">
      <c r="A71" s="53"/>
      <c r="B71" s="23"/>
      <c r="C71" s="24"/>
      <c r="D71" s="25"/>
      <c r="E71" s="25"/>
      <c r="F71" s="26"/>
      <c r="G71" s="26"/>
      <c r="H71" s="26"/>
      <c r="I71" s="26"/>
      <c r="J71" s="42"/>
      <c r="K71" s="42"/>
      <c r="L71" s="42"/>
      <c r="M71" s="42"/>
      <c r="N71" s="37"/>
      <c r="O71" s="37"/>
      <c r="P71" s="37"/>
      <c r="Q71" s="37"/>
      <c r="R71" s="56"/>
      <c r="S71" s="52" t="s">
        <v>123</v>
      </c>
      <c r="T71" s="24"/>
      <c r="U71" s="44"/>
      <c r="V71" s="33"/>
      <c r="W71" s="33"/>
    </row>
    <row r="72" spans="1:24" s="3" customFormat="1" ht="17.25" x14ac:dyDescent="0.25">
      <c r="A72" s="53">
        <f>+A70+1</f>
        <v>45</v>
      </c>
      <c r="B72" s="63" t="s">
        <v>71</v>
      </c>
      <c r="C72" s="24">
        <f>SUM(D72:E72)</f>
        <v>10659</v>
      </c>
      <c r="D72" s="25">
        <f>SUM(F72,J72,L72)</f>
        <v>10659</v>
      </c>
      <c r="E72" s="25">
        <f>SUM(I72,K72,M72)</f>
        <v>0</v>
      </c>
      <c r="F72" s="26">
        <v>71</v>
      </c>
      <c r="G72" s="26">
        <v>1</v>
      </c>
      <c r="H72" s="26">
        <v>2</v>
      </c>
      <c r="I72" s="26"/>
      <c r="J72" s="42">
        <v>210</v>
      </c>
      <c r="K72" s="42">
        <v>0</v>
      </c>
      <c r="L72" s="42">
        <f>1069+9309</f>
        <v>10378</v>
      </c>
      <c r="M72" s="42">
        <v>0</v>
      </c>
      <c r="N72" s="37">
        <v>210</v>
      </c>
      <c r="O72" s="37">
        <v>0</v>
      </c>
      <c r="P72" s="37">
        <f>10442-9373</f>
        <v>1069</v>
      </c>
      <c r="Q72" s="37"/>
      <c r="R72" s="56">
        <f>+R70+1</f>
        <v>33</v>
      </c>
      <c r="S72" s="65" t="s">
        <v>71</v>
      </c>
      <c r="T72" s="24">
        <f>+C72-203</f>
        <v>10456</v>
      </c>
      <c r="U72" s="44">
        <f>+T72-C72</f>
        <v>-203</v>
      </c>
      <c r="V72" s="33">
        <f>+(G72+H72)</f>
        <v>3</v>
      </c>
      <c r="W72" s="33">
        <f>+V72-(V72*0.35)</f>
        <v>1.9500000000000002</v>
      </c>
    </row>
    <row r="73" spans="1:24" s="2" customFormat="1" ht="6.75" customHeight="1" x14ac:dyDescent="0.25">
      <c r="A73" s="73"/>
      <c r="B73" s="74"/>
      <c r="C73" s="19"/>
      <c r="D73" s="75"/>
      <c r="E73" s="75"/>
      <c r="F73" s="76"/>
      <c r="G73" s="76"/>
      <c r="H73" s="76"/>
      <c r="I73" s="76"/>
      <c r="J73" s="77"/>
      <c r="K73" s="77"/>
      <c r="L73" s="77"/>
      <c r="M73" s="77"/>
      <c r="N73" s="78"/>
      <c r="O73" s="78"/>
      <c r="P73" s="78"/>
      <c r="Q73" s="78"/>
      <c r="R73" s="83"/>
      <c r="S73" s="78"/>
      <c r="T73" s="19"/>
      <c r="U73" s="79"/>
      <c r="V73" s="80"/>
      <c r="W73" s="80"/>
    </row>
    <row r="74" spans="1:24" s="61" customFormat="1" ht="17.25" x14ac:dyDescent="0.25">
      <c r="A74" s="53">
        <f>+A72+1</f>
        <v>46</v>
      </c>
      <c r="B74" s="54" t="s">
        <v>35</v>
      </c>
      <c r="C74" s="24">
        <f>SUM(D74:E74)</f>
        <v>3070</v>
      </c>
      <c r="D74" s="55">
        <f>SUM(F74,J74,L74)</f>
        <v>3070</v>
      </c>
      <c r="E74" s="55">
        <f>SUM(I74,K74,M74)</f>
        <v>0</v>
      </c>
      <c r="F74" s="56">
        <v>191</v>
      </c>
      <c r="G74" s="56">
        <v>1</v>
      </c>
      <c r="H74" s="56">
        <v>5</v>
      </c>
      <c r="I74" s="56"/>
      <c r="J74" s="57">
        <v>920</v>
      </c>
      <c r="K74" s="57">
        <v>0</v>
      </c>
      <c r="L74" s="57">
        <v>1959</v>
      </c>
      <c r="M74" s="57">
        <v>0</v>
      </c>
      <c r="N74" s="58">
        <v>920</v>
      </c>
      <c r="O74" s="58"/>
      <c r="P74" s="58">
        <v>1959</v>
      </c>
      <c r="Q74" s="58"/>
      <c r="R74" s="56">
        <f>+R72+1</f>
        <v>34</v>
      </c>
      <c r="S74" s="54" t="s">
        <v>35</v>
      </c>
      <c r="T74" s="24">
        <f>+C74-(C74*0.15)+573+15</f>
        <v>3197.5</v>
      </c>
      <c r="U74" s="59">
        <f>+T74-C74</f>
        <v>127.5</v>
      </c>
      <c r="V74" s="60">
        <f>+(G74+H74)</f>
        <v>6</v>
      </c>
      <c r="W74" s="60">
        <f>+V74-(V74*0.35)</f>
        <v>3.9000000000000004</v>
      </c>
    </row>
    <row r="75" spans="1:24" s="3" customFormat="1" ht="17.25" x14ac:dyDescent="0.25">
      <c r="A75" s="53"/>
      <c r="B75" s="23"/>
      <c r="C75" s="24"/>
      <c r="D75" s="25"/>
      <c r="E75" s="25"/>
      <c r="F75" s="26"/>
      <c r="G75" s="26"/>
      <c r="H75" s="26"/>
      <c r="I75" s="26"/>
      <c r="J75" s="42"/>
      <c r="K75" s="42"/>
      <c r="L75" s="42"/>
      <c r="M75" s="42"/>
      <c r="N75" s="37"/>
      <c r="O75" s="37"/>
      <c r="P75" s="37"/>
      <c r="Q75" s="37"/>
      <c r="R75" s="84"/>
      <c r="S75" s="52" t="s">
        <v>123</v>
      </c>
      <c r="T75" s="68"/>
      <c r="U75" s="66"/>
      <c r="V75" s="33"/>
      <c r="W75" s="33"/>
    </row>
    <row r="76" spans="1:24" s="3" customFormat="1" ht="17.25" x14ac:dyDescent="0.3">
      <c r="A76" s="53">
        <f>+A74+1</f>
        <v>47</v>
      </c>
      <c r="B76" s="63" t="s">
        <v>45</v>
      </c>
      <c r="C76" s="24">
        <f t="shared" ref="C76" si="86">SUM(D76:E76)</f>
        <v>1626</v>
      </c>
      <c r="D76" s="25">
        <f t="shared" ref="D76" si="87">SUM(F76,J76,L76)</f>
        <v>1626</v>
      </c>
      <c r="E76" s="25">
        <f t="shared" ref="E76" si="88">SUM(I76,K76,M76)</f>
        <v>0</v>
      </c>
      <c r="F76" s="26">
        <v>69</v>
      </c>
      <c r="G76" s="26">
        <v>2</v>
      </c>
      <c r="H76" s="26">
        <v>2</v>
      </c>
      <c r="I76" s="26"/>
      <c r="J76" s="42">
        <v>220</v>
      </c>
      <c r="K76" s="42">
        <v>0</v>
      </c>
      <c r="L76" s="42">
        <v>1337</v>
      </c>
      <c r="M76" s="42">
        <v>0</v>
      </c>
      <c r="N76" s="37">
        <v>220</v>
      </c>
      <c r="O76" s="37">
        <v>0</v>
      </c>
      <c r="P76" s="37">
        <v>1337</v>
      </c>
      <c r="Q76" s="40"/>
      <c r="R76" s="178">
        <f>+R74+1</f>
        <v>35</v>
      </c>
      <c r="S76" s="166" t="s">
        <v>163</v>
      </c>
      <c r="T76" s="170">
        <f>+(C76+C77)-((C76*0.15)+(C77*0.15))+573</f>
        <v>4350.3999999999996</v>
      </c>
      <c r="U76" s="172">
        <f>+T76-C76-C77</f>
        <v>-93.600000000000364</v>
      </c>
      <c r="V76" s="33">
        <f t="shared" ref="V76:V82" si="89">+(G76+H76)</f>
        <v>4</v>
      </c>
      <c r="W76" s="33">
        <f t="shared" ref="W76" si="90">+V76-(V76*0.35)</f>
        <v>2.6</v>
      </c>
      <c r="X76" s="8" t="s">
        <v>7</v>
      </c>
    </row>
    <row r="77" spans="1:24" s="3" customFormat="1" ht="17.25" x14ac:dyDescent="0.25">
      <c r="A77" s="53">
        <f t="shared" ref="A77:A82" si="91">+A76+1</f>
        <v>48</v>
      </c>
      <c r="B77" s="63" t="s">
        <v>64</v>
      </c>
      <c r="C77" s="24">
        <f>SUM(D77:E77)</f>
        <v>2818</v>
      </c>
      <c r="D77" s="25">
        <f>SUM(F77,J77,L77)</f>
        <v>474</v>
      </c>
      <c r="E77" s="25">
        <f>SUM(I77,K77,M77)</f>
        <v>2344</v>
      </c>
      <c r="F77" s="26">
        <v>116</v>
      </c>
      <c r="G77" s="26">
        <v>1</v>
      </c>
      <c r="H77" s="26">
        <v>2</v>
      </c>
      <c r="I77" s="26"/>
      <c r="J77" s="42">
        <v>358</v>
      </c>
      <c r="K77" s="42">
        <v>744</v>
      </c>
      <c r="L77" s="42">
        <v>0</v>
      </c>
      <c r="M77" s="42">
        <v>1600</v>
      </c>
      <c r="N77" s="37">
        <v>358</v>
      </c>
      <c r="O77" s="37">
        <v>744</v>
      </c>
      <c r="P77" s="37">
        <v>0</v>
      </c>
      <c r="Q77" s="37">
        <v>1600</v>
      </c>
      <c r="R77" s="179"/>
      <c r="S77" s="167"/>
      <c r="T77" s="171"/>
      <c r="U77" s="173"/>
      <c r="V77" s="33">
        <f t="shared" si="89"/>
        <v>3</v>
      </c>
      <c r="W77" s="33">
        <f>+V77-(V77*0.35)</f>
        <v>1.9500000000000002</v>
      </c>
    </row>
    <row r="78" spans="1:24" s="3" customFormat="1" ht="31.5" x14ac:dyDescent="0.25">
      <c r="A78" s="53">
        <f t="shared" si="91"/>
        <v>49</v>
      </c>
      <c r="B78" s="63" t="s">
        <v>77</v>
      </c>
      <c r="C78" s="24">
        <f t="shared" ref="C78" si="92">SUM(D78:E78)</f>
        <v>1593</v>
      </c>
      <c r="D78" s="25">
        <f t="shared" ref="D78" si="93">SUM(F78,J78,L78)</f>
        <v>666</v>
      </c>
      <c r="E78" s="25">
        <f t="shared" ref="E78" si="94">SUM(I78,K78,M78)</f>
        <v>927</v>
      </c>
      <c r="F78" s="26">
        <v>75</v>
      </c>
      <c r="G78" s="26">
        <v>1</v>
      </c>
      <c r="H78" s="26">
        <v>3</v>
      </c>
      <c r="I78" s="26"/>
      <c r="J78" s="42">
        <v>314</v>
      </c>
      <c r="K78" s="42">
        <v>0</v>
      </c>
      <c r="L78" s="42">
        <v>277</v>
      </c>
      <c r="M78" s="42">
        <v>927</v>
      </c>
      <c r="N78" s="37">
        <v>314</v>
      </c>
      <c r="O78" s="37"/>
      <c r="P78" s="37">
        <v>277</v>
      </c>
      <c r="Q78" s="37">
        <v>927</v>
      </c>
      <c r="R78" s="56"/>
      <c r="S78" s="37"/>
      <c r="T78" s="24">
        <v>0</v>
      </c>
      <c r="U78" s="44">
        <f t="shared" ref="U78" si="95">+T78-C78</f>
        <v>-1593</v>
      </c>
      <c r="V78" s="33">
        <f t="shared" si="89"/>
        <v>4</v>
      </c>
      <c r="W78" s="33">
        <f t="shared" ref="W78" si="96">+V78-(V78*0.35)</f>
        <v>2.6</v>
      </c>
    </row>
    <row r="79" spans="1:24" s="3" customFormat="1" ht="17.25" x14ac:dyDescent="0.25">
      <c r="A79" s="53">
        <f t="shared" si="91"/>
        <v>50</v>
      </c>
      <c r="B79" s="70" t="s">
        <v>164</v>
      </c>
      <c r="C79" s="24">
        <f>SUM(D79:E79)</f>
        <v>413</v>
      </c>
      <c r="D79" s="25">
        <f>SUM(F79,J79,L79)</f>
        <v>413</v>
      </c>
      <c r="E79" s="25">
        <f>SUM(I79,K79,M79)</f>
        <v>0</v>
      </c>
      <c r="F79" s="26">
        <v>32</v>
      </c>
      <c r="G79" s="26">
        <v>0</v>
      </c>
      <c r="H79" s="26">
        <v>2</v>
      </c>
      <c r="I79" s="26"/>
      <c r="J79" s="42">
        <v>58</v>
      </c>
      <c r="K79" s="42">
        <v>0</v>
      </c>
      <c r="L79" s="42">
        <v>323</v>
      </c>
      <c r="M79" s="42">
        <v>0</v>
      </c>
      <c r="N79" s="37">
        <v>58</v>
      </c>
      <c r="O79" s="37"/>
      <c r="P79" s="37">
        <v>323</v>
      </c>
      <c r="Q79" s="37"/>
      <c r="R79" s="168">
        <f>+R76+1</f>
        <v>36</v>
      </c>
      <c r="S79" s="166" t="s">
        <v>165</v>
      </c>
      <c r="T79" s="170">
        <f>+(C79+C80)-((C79*0.15)+(C80*0.15))+28</f>
        <v>562.65</v>
      </c>
      <c r="U79" s="172">
        <f>+T79-C79-C80</f>
        <v>-66.350000000000023</v>
      </c>
      <c r="V79" s="33">
        <f t="shared" si="89"/>
        <v>2</v>
      </c>
      <c r="W79" s="33">
        <f>+V79-(V79*0.35)</f>
        <v>1.3</v>
      </c>
    </row>
    <row r="80" spans="1:24" s="3" customFormat="1" ht="17.25" x14ac:dyDescent="0.25">
      <c r="A80" s="53">
        <f t="shared" si="91"/>
        <v>51</v>
      </c>
      <c r="B80" s="70" t="s">
        <v>166</v>
      </c>
      <c r="C80" s="24">
        <f>SUM(D80:E80)</f>
        <v>216</v>
      </c>
      <c r="D80" s="25">
        <f>SUM(F80,J80,L80)</f>
        <v>216</v>
      </c>
      <c r="E80" s="25">
        <f>SUM(I80,K80,M80)</f>
        <v>0</v>
      </c>
      <c r="F80" s="26">
        <v>34</v>
      </c>
      <c r="G80" s="26">
        <v>1</v>
      </c>
      <c r="H80" s="26"/>
      <c r="I80" s="26"/>
      <c r="J80" s="42">
        <v>182</v>
      </c>
      <c r="K80" s="42">
        <v>0</v>
      </c>
      <c r="L80" s="42">
        <v>0</v>
      </c>
      <c r="M80" s="42">
        <v>0</v>
      </c>
      <c r="N80" s="37">
        <v>182</v>
      </c>
      <c r="O80" s="37">
        <v>0</v>
      </c>
      <c r="P80" s="37">
        <v>0</v>
      </c>
      <c r="Q80" s="37">
        <v>0</v>
      </c>
      <c r="R80" s="169"/>
      <c r="S80" s="167"/>
      <c r="T80" s="171"/>
      <c r="U80" s="173"/>
      <c r="V80" s="33">
        <f t="shared" si="89"/>
        <v>1</v>
      </c>
      <c r="W80" s="33">
        <f>+V80-(V80*0.35)</f>
        <v>0.65</v>
      </c>
    </row>
    <row r="81" spans="1:23" s="3" customFormat="1" ht="17.25" x14ac:dyDescent="0.25">
      <c r="A81" s="53">
        <f t="shared" si="91"/>
        <v>52</v>
      </c>
      <c r="B81" s="63" t="s">
        <v>51</v>
      </c>
      <c r="C81" s="24">
        <f t="shared" ref="C81:C82" si="97">SUM(D81:E81)</f>
        <v>31</v>
      </c>
      <c r="D81" s="25">
        <f t="shared" ref="D81:D82" si="98">SUM(F81,J81,L81)</f>
        <v>26</v>
      </c>
      <c r="E81" s="25">
        <f t="shared" ref="E81:E82" si="99">SUM(I81,K81,M81)</f>
        <v>5</v>
      </c>
      <c r="F81" s="26">
        <v>15</v>
      </c>
      <c r="G81" s="26">
        <v>1</v>
      </c>
      <c r="H81" s="26">
        <v>1</v>
      </c>
      <c r="I81" s="26"/>
      <c r="J81" s="42">
        <v>11</v>
      </c>
      <c r="K81" s="42">
        <v>5</v>
      </c>
      <c r="L81" s="42">
        <v>0</v>
      </c>
      <c r="M81" s="42">
        <v>0</v>
      </c>
      <c r="N81" s="37">
        <v>11</v>
      </c>
      <c r="O81" s="37">
        <v>5</v>
      </c>
      <c r="P81" s="37">
        <v>0</v>
      </c>
      <c r="Q81" s="37">
        <v>0</v>
      </c>
      <c r="R81" s="56"/>
      <c r="S81" s="37"/>
      <c r="T81" s="24">
        <v>0</v>
      </c>
      <c r="U81" s="44">
        <f>+T81-C81</f>
        <v>-31</v>
      </c>
      <c r="V81" s="33">
        <f t="shared" si="89"/>
        <v>2</v>
      </c>
      <c r="W81" s="33">
        <f t="shared" ref="W81:W82" si="100">+V81-(V81*0.35)</f>
        <v>1.3</v>
      </c>
    </row>
    <row r="82" spans="1:23" s="3" customFormat="1" ht="31.5" x14ac:dyDescent="0.25">
      <c r="A82" s="53">
        <f t="shared" si="91"/>
        <v>53</v>
      </c>
      <c r="B82" s="63" t="s">
        <v>56</v>
      </c>
      <c r="C82" s="24">
        <f t="shared" si="97"/>
        <v>57</v>
      </c>
      <c r="D82" s="25">
        <f t="shared" si="98"/>
        <v>57</v>
      </c>
      <c r="E82" s="25">
        <f t="shared" si="99"/>
        <v>0</v>
      </c>
      <c r="F82" s="26">
        <v>57</v>
      </c>
      <c r="G82" s="26">
        <v>1</v>
      </c>
      <c r="H82" s="26">
        <v>2</v>
      </c>
      <c r="I82" s="26"/>
      <c r="J82" s="42">
        <v>0</v>
      </c>
      <c r="K82" s="42">
        <v>0</v>
      </c>
      <c r="L82" s="42">
        <v>0</v>
      </c>
      <c r="M82" s="42">
        <v>0</v>
      </c>
      <c r="N82" s="37"/>
      <c r="O82" s="37"/>
      <c r="P82" s="37"/>
      <c r="Q82" s="37"/>
      <c r="R82" s="56"/>
      <c r="S82" s="37"/>
      <c r="T82" s="24">
        <v>0</v>
      </c>
      <c r="U82" s="44">
        <f>+T82-C82</f>
        <v>-57</v>
      </c>
      <c r="V82" s="33">
        <f t="shared" si="89"/>
        <v>3</v>
      </c>
      <c r="W82" s="33">
        <f t="shared" si="100"/>
        <v>1.9500000000000002</v>
      </c>
    </row>
    <row r="83" spans="1:23" s="2" customFormat="1" ht="6.75" customHeight="1" x14ac:dyDescent="0.25">
      <c r="A83" s="73"/>
      <c r="B83" s="74"/>
      <c r="C83" s="19"/>
      <c r="D83" s="75"/>
      <c r="E83" s="75"/>
      <c r="F83" s="76"/>
      <c r="G83" s="76"/>
      <c r="H83" s="76"/>
      <c r="I83" s="76"/>
      <c r="J83" s="77"/>
      <c r="K83" s="77"/>
      <c r="L83" s="77"/>
      <c r="M83" s="77"/>
      <c r="N83" s="78"/>
      <c r="O83" s="78"/>
      <c r="P83" s="78"/>
      <c r="Q83" s="78"/>
      <c r="R83" s="83"/>
      <c r="S83" s="78"/>
      <c r="T83" s="19"/>
      <c r="U83" s="79"/>
      <c r="V83" s="80"/>
      <c r="W83" s="80"/>
    </row>
    <row r="84" spans="1:23" s="3" customFormat="1" ht="17.25" x14ac:dyDescent="0.25">
      <c r="A84" s="53">
        <f>+A82+1</f>
        <v>54</v>
      </c>
      <c r="B84" s="23" t="s">
        <v>176</v>
      </c>
      <c r="C84" s="24">
        <f>SUM(D84:E84)</f>
        <v>234</v>
      </c>
      <c r="D84" s="25">
        <f>SUM(F84,J84,L84)</f>
        <v>234</v>
      </c>
      <c r="E84" s="25">
        <f>SUM(I84,K84,M84)</f>
        <v>0</v>
      </c>
      <c r="F84" s="26">
        <v>142</v>
      </c>
      <c r="G84" s="26">
        <v>1</v>
      </c>
      <c r="H84" s="26">
        <v>3</v>
      </c>
      <c r="I84" s="26"/>
      <c r="J84" s="42">
        <v>92</v>
      </c>
      <c r="K84" s="42">
        <v>0</v>
      </c>
      <c r="L84" s="42">
        <v>0</v>
      </c>
      <c r="M84" s="42">
        <v>0</v>
      </c>
      <c r="N84" s="37">
        <v>92</v>
      </c>
      <c r="O84" s="37"/>
      <c r="P84" s="37"/>
      <c r="Q84" s="37"/>
      <c r="R84" s="56">
        <f>+R79+1</f>
        <v>37</v>
      </c>
      <c r="S84" s="64" t="s">
        <v>175</v>
      </c>
      <c r="T84" s="24">
        <f>+C84-(C84*0.15)</f>
        <v>198.9</v>
      </c>
      <c r="U84" s="44">
        <f>+T84-C84</f>
        <v>-35.099999999999994</v>
      </c>
      <c r="V84" s="33">
        <f>+(G84+H84)</f>
        <v>4</v>
      </c>
      <c r="W84" s="33">
        <f>+V84-(V84*0.35)</f>
        <v>2.6</v>
      </c>
    </row>
    <row r="85" spans="1:23" s="3" customFormat="1" ht="17.25" x14ac:dyDescent="0.25">
      <c r="A85" s="53"/>
      <c r="B85" s="23"/>
      <c r="C85" s="24"/>
      <c r="D85" s="25"/>
      <c r="E85" s="25"/>
      <c r="F85" s="26"/>
      <c r="G85" s="26"/>
      <c r="H85" s="26"/>
      <c r="I85" s="26"/>
      <c r="J85" s="42"/>
      <c r="K85" s="42"/>
      <c r="L85" s="42"/>
      <c r="M85" s="42"/>
      <c r="N85" s="37"/>
      <c r="O85" s="37"/>
      <c r="P85" s="37"/>
      <c r="Q85" s="37"/>
      <c r="R85" s="53"/>
      <c r="S85" s="52" t="s">
        <v>123</v>
      </c>
      <c r="T85" s="24"/>
      <c r="U85" s="44"/>
      <c r="V85" s="33"/>
      <c r="W85" s="33"/>
    </row>
    <row r="86" spans="1:23" s="3" customFormat="1" ht="17.25" x14ac:dyDescent="0.25">
      <c r="A86" s="53">
        <f>+A84+1</f>
        <v>55</v>
      </c>
      <c r="B86" s="23" t="s">
        <v>168</v>
      </c>
      <c r="C86" s="24">
        <f>SUM(D86:E86)</f>
        <v>31</v>
      </c>
      <c r="D86" s="25">
        <f>SUM(F86,J86,L86)</f>
        <v>31</v>
      </c>
      <c r="E86" s="25">
        <f>SUM(I86,K86,M86)</f>
        <v>0</v>
      </c>
      <c r="F86" s="26">
        <v>31</v>
      </c>
      <c r="G86" s="26">
        <v>1</v>
      </c>
      <c r="H86" s="26">
        <v>1</v>
      </c>
      <c r="I86" s="26"/>
      <c r="J86" s="42">
        <v>0</v>
      </c>
      <c r="K86" s="42">
        <v>0</v>
      </c>
      <c r="L86" s="42">
        <v>0</v>
      </c>
      <c r="M86" s="42">
        <v>0</v>
      </c>
      <c r="N86" s="37"/>
      <c r="O86" s="37"/>
      <c r="P86" s="37"/>
      <c r="Q86" s="37"/>
      <c r="R86" s="56">
        <f>+R84+1</f>
        <v>38</v>
      </c>
      <c r="S86" s="65" t="s">
        <v>167</v>
      </c>
      <c r="T86" s="24">
        <v>31</v>
      </c>
      <c r="U86" s="44">
        <f>+T86-C86</f>
        <v>0</v>
      </c>
      <c r="V86" s="33">
        <f>+(G86+H86)</f>
        <v>2</v>
      </c>
      <c r="W86" s="33">
        <f>+V86-(V86*0.35)</f>
        <v>1.3</v>
      </c>
    </row>
    <row r="87" spans="1:23" s="3" customFormat="1" ht="31.5" x14ac:dyDescent="0.25">
      <c r="A87" s="53">
        <f>+A86+1</f>
        <v>56</v>
      </c>
      <c r="B87" s="63" t="s">
        <v>85</v>
      </c>
      <c r="C87" s="24">
        <f>SUM(D87:E87)</f>
        <v>194</v>
      </c>
      <c r="D87" s="25">
        <f>SUM(F87,J87,L87)</f>
        <v>109</v>
      </c>
      <c r="E87" s="25">
        <f>SUM(I87,K87,M87)</f>
        <v>85</v>
      </c>
      <c r="F87" s="26">
        <v>20</v>
      </c>
      <c r="G87" s="26"/>
      <c r="H87" s="26">
        <v>1</v>
      </c>
      <c r="I87" s="26">
        <v>85</v>
      </c>
      <c r="J87" s="42">
        <v>89</v>
      </c>
      <c r="K87" s="42">
        <v>0</v>
      </c>
      <c r="L87" s="42">
        <v>0</v>
      </c>
      <c r="M87" s="42">
        <v>0</v>
      </c>
      <c r="N87" s="37">
        <v>89</v>
      </c>
      <c r="O87" s="37"/>
      <c r="P87" s="37"/>
      <c r="Q87" s="37"/>
      <c r="R87" s="56">
        <f>+R86+1</f>
        <v>39</v>
      </c>
      <c r="S87" s="65" t="s">
        <v>169</v>
      </c>
      <c r="T87" s="24">
        <f>+C87-(C87*0.1)</f>
        <v>174.6</v>
      </c>
      <c r="U87" s="44">
        <f>+T87-C87</f>
        <v>-19.400000000000006</v>
      </c>
      <c r="V87" s="33">
        <f t="shared" ref="V87" si="101">+(G87+H87)</f>
        <v>1</v>
      </c>
      <c r="W87" s="33">
        <f>+V87-(V87*0.35)</f>
        <v>0.65</v>
      </c>
    </row>
    <row r="88" spans="1:23" s="2" customFormat="1" ht="6.75" customHeight="1" x14ac:dyDescent="0.25">
      <c r="A88" s="73"/>
      <c r="B88" s="74"/>
      <c r="C88" s="19"/>
      <c r="D88" s="75"/>
      <c r="E88" s="75"/>
      <c r="F88" s="76"/>
      <c r="G88" s="76"/>
      <c r="H88" s="76"/>
      <c r="I88" s="76"/>
      <c r="J88" s="77"/>
      <c r="K88" s="77"/>
      <c r="L88" s="77"/>
      <c r="M88" s="77"/>
      <c r="N88" s="78"/>
      <c r="O88" s="78"/>
      <c r="P88" s="78"/>
      <c r="Q88" s="78"/>
      <c r="R88" s="83"/>
      <c r="S88" s="78"/>
      <c r="T88" s="19"/>
      <c r="U88" s="79"/>
      <c r="V88" s="80"/>
      <c r="W88" s="80"/>
    </row>
    <row r="89" spans="1:23" s="61" customFormat="1" ht="17.25" x14ac:dyDescent="0.25">
      <c r="A89" s="53">
        <f>+A87+1</f>
        <v>57</v>
      </c>
      <c r="B89" s="54" t="s">
        <v>28</v>
      </c>
      <c r="C89" s="24">
        <f>SUM(D89:E89)</f>
        <v>4972</v>
      </c>
      <c r="D89" s="55">
        <f>SUM(F89,J89,L89)</f>
        <v>4972</v>
      </c>
      <c r="E89" s="55">
        <f>SUM(I89,K89,M89)</f>
        <v>0</v>
      </c>
      <c r="F89" s="56">
        <v>320</v>
      </c>
      <c r="G89" s="56">
        <v>1</v>
      </c>
      <c r="H89" s="56">
        <v>4</v>
      </c>
      <c r="I89" s="56"/>
      <c r="J89" s="57">
        <v>592</v>
      </c>
      <c r="K89" s="57">
        <v>0</v>
      </c>
      <c r="L89" s="57">
        <v>4060</v>
      </c>
      <c r="M89" s="57">
        <v>0</v>
      </c>
      <c r="N89" s="58">
        <v>592</v>
      </c>
      <c r="O89" s="58">
        <v>0</v>
      </c>
      <c r="P89" s="58">
        <v>4060</v>
      </c>
      <c r="Q89" s="58">
        <v>0</v>
      </c>
      <c r="R89" s="56">
        <f>+R87+1</f>
        <v>40</v>
      </c>
      <c r="S89" s="54" t="s">
        <v>28</v>
      </c>
      <c r="T89" s="24">
        <f>+C89-(C89*0.15)</f>
        <v>4226.2</v>
      </c>
      <c r="U89" s="59">
        <f>+T89-C89</f>
        <v>-745.80000000000018</v>
      </c>
      <c r="V89" s="60">
        <f>+(G89+H89)</f>
        <v>5</v>
      </c>
      <c r="W89" s="60">
        <f>+V89-(V89*0.35)</f>
        <v>3.25</v>
      </c>
    </row>
    <row r="90" spans="1:23" s="3" customFormat="1" ht="17.25" x14ac:dyDescent="0.25">
      <c r="A90" s="53">
        <f>+A89+1</f>
        <v>58</v>
      </c>
      <c r="B90" s="63" t="s">
        <v>69</v>
      </c>
      <c r="C90" s="24">
        <f>SUM(D90:E90)</f>
        <v>70</v>
      </c>
      <c r="D90" s="25">
        <f>SUM(F90,J90,L90)</f>
        <v>70</v>
      </c>
      <c r="E90" s="25">
        <f>SUM(I90,K90,M90)</f>
        <v>0</v>
      </c>
      <c r="F90" s="26">
        <v>20</v>
      </c>
      <c r="G90" s="26">
        <v>0</v>
      </c>
      <c r="H90" s="26">
        <v>2</v>
      </c>
      <c r="I90" s="26"/>
      <c r="J90" s="42">
        <v>50</v>
      </c>
      <c r="K90" s="42">
        <v>0</v>
      </c>
      <c r="L90" s="42">
        <v>0</v>
      </c>
      <c r="M90" s="42">
        <v>0</v>
      </c>
      <c r="N90" s="37">
        <v>50</v>
      </c>
      <c r="O90" s="37"/>
      <c r="P90" s="37"/>
      <c r="Q90" s="37"/>
      <c r="R90" s="56">
        <f>+R89+1</f>
        <v>41</v>
      </c>
      <c r="S90" s="65" t="s">
        <v>69</v>
      </c>
      <c r="T90" s="24">
        <v>70</v>
      </c>
      <c r="U90" s="44">
        <f>+T90-C90</f>
        <v>0</v>
      </c>
      <c r="V90" s="33">
        <f>+(G90+H90)</f>
        <v>2</v>
      </c>
      <c r="W90" s="33">
        <f>+V90-(V90*0.35)</f>
        <v>1.3</v>
      </c>
    </row>
    <row r="91" spans="1:23" s="3" customFormat="1" ht="17.25" x14ac:dyDescent="0.25">
      <c r="A91" s="53">
        <f>+A90+1</f>
        <v>59</v>
      </c>
      <c r="B91" s="63" t="s">
        <v>91</v>
      </c>
      <c r="C91" s="24">
        <f>SUM(D91:E91)</f>
        <v>55</v>
      </c>
      <c r="D91" s="25">
        <f>SUM(F91,J91,L91)</f>
        <v>38</v>
      </c>
      <c r="E91" s="25">
        <f>SUM(I91,K91,M91)</f>
        <v>17</v>
      </c>
      <c r="F91" s="26">
        <v>38</v>
      </c>
      <c r="G91" s="26">
        <v>1</v>
      </c>
      <c r="H91" s="26">
        <v>1</v>
      </c>
      <c r="I91" s="26">
        <v>17</v>
      </c>
      <c r="J91" s="42">
        <v>0</v>
      </c>
      <c r="K91" s="42">
        <v>0</v>
      </c>
      <c r="L91" s="42">
        <v>0</v>
      </c>
      <c r="M91" s="42">
        <v>0</v>
      </c>
      <c r="N91" s="37"/>
      <c r="O91" s="37"/>
      <c r="P91" s="37"/>
      <c r="Q91" s="37"/>
      <c r="R91" s="56">
        <f>+R90+1</f>
        <v>42</v>
      </c>
      <c r="S91" s="65" t="s">
        <v>170</v>
      </c>
      <c r="T91" s="24">
        <v>55</v>
      </c>
      <c r="U91" s="44">
        <f>+T91-C91</f>
        <v>0</v>
      </c>
      <c r="V91" s="33">
        <f>+(G91+H91)</f>
        <v>2</v>
      </c>
      <c r="W91" s="33">
        <f>+V91-(V91*0.35)</f>
        <v>1.3</v>
      </c>
    </row>
    <row r="92" spans="1:23" s="2" customFormat="1" ht="6.75" customHeight="1" x14ac:dyDescent="0.25">
      <c r="A92" s="73"/>
      <c r="B92" s="74"/>
      <c r="C92" s="19"/>
      <c r="D92" s="75"/>
      <c r="E92" s="75"/>
      <c r="F92" s="76"/>
      <c r="G92" s="76"/>
      <c r="H92" s="76"/>
      <c r="I92" s="76"/>
      <c r="J92" s="77"/>
      <c r="K92" s="77"/>
      <c r="L92" s="77"/>
      <c r="M92" s="77"/>
      <c r="N92" s="78"/>
      <c r="O92" s="78"/>
      <c r="P92" s="78"/>
      <c r="Q92" s="78"/>
      <c r="R92" s="83"/>
      <c r="S92" s="78"/>
      <c r="T92" s="19"/>
      <c r="U92" s="79"/>
      <c r="V92" s="80"/>
      <c r="W92" s="80"/>
    </row>
    <row r="93" spans="1:23" s="61" customFormat="1" ht="17.25" x14ac:dyDescent="0.25">
      <c r="A93" s="53">
        <f>+A91+1</f>
        <v>60</v>
      </c>
      <c r="B93" s="54" t="s">
        <v>20</v>
      </c>
      <c r="C93" s="24">
        <f>SUM(D93:E93)</f>
        <v>911</v>
      </c>
      <c r="D93" s="55">
        <f>SUM(F93,J93,L93)</f>
        <v>445</v>
      </c>
      <c r="E93" s="55">
        <f>SUM(I93,K93,M93)</f>
        <v>466</v>
      </c>
      <c r="F93" s="56">
        <v>130</v>
      </c>
      <c r="G93" s="56">
        <v>0</v>
      </c>
      <c r="H93" s="56">
        <v>3</v>
      </c>
      <c r="I93" s="56"/>
      <c r="J93" s="57">
        <v>315</v>
      </c>
      <c r="K93" s="57">
        <v>466</v>
      </c>
      <c r="L93" s="57">
        <v>0</v>
      </c>
      <c r="M93" s="57">
        <v>0</v>
      </c>
      <c r="N93" s="58">
        <v>315</v>
      </c>
      <c r="O93" s="58">
        <v>466</v>
      </c>
      <c r="P93" s="58"/>
      <c r="Q93" s="58"/>
      <c r="R93" s="56">
        <f>+R91+1</f>
        <v>43</v>
      </c>
      <c r="S93" s="54" t="s">
        <v>20</v>
      </c>
      <c r="T93" s="24">
        <f>+C93</f>
        <v>911</v>
      </c>
      <c r="U93" s="59">
        <f>+T93-C93</f>
        <v>0</v>
      </c>
      <c r="V93" s="60">
        <f>+(G93+H93)</f>
        <v>3</v>
      </c>
      <c r="W93" s="60">
        <f>+V93-(V93*0.35)</f>
        <v>1.9500000000000002</v>
      </c>
    </row>
    <row r="94" spans="1:23" s="3" customFormat="1" ht="17.25" x14ac:dyDescent="0.25">
      <c r="A94" s="53"/>
      <c r="B94" s="52" t="s">
        <v>123</v>
      </c>
      <c r="C94" s="24"/>
      <c r="D94" s="25"/>
      <c r="E94" s="25"/>
      <c r="F94" s="26"/>
      <c r="G94" s="26"/>
      <c r="H94" s="26"/>
      <c r="I94" s="26"/>
      <c r="J94" s="42"/>
      <c r="K94" s="42"/>
      <c r="L94" s="42"/>
      <c r="M94" s="42"/>
      <c r="N94" s="37"/>
      <c r="O94" s="37"/>
      <c r="P94" s="37"/>
      <c r="Q94" s="37"/>
      <c r="R94" s="53"/>
      <c r="S94" s="52" t="s">
        <v>123</v>
      </c>
      <c r="T94" s="24"/>
      <c r="U94" s="44"/>
      <c r="V94" s="33"/>
      <c r="W94" s="33"/>
    </row>
    <row r="95" spans="1:23" s="3" customFormat="1" ht="17.25" x14ac:dyDescent="0.25">
      <c r="A95" s="53">
        <f>+A93+1</f>
        <v>61</v>
      </c>
      <c r="B95" s="62" t="s">
        <v>171</v>
      </c>
      <c r="C95" s="24">
        <f>SUM(D95:E95)</f>
        <v>468</v>
      </c>
      <c r="D95" s="25">
        <f>SUM(F95,J95,L95)</f>
        <v>468</v>
      </c>
      <c r="E95" s="25">
        <f>SUM(I95,K95,M95)</f>
        <v>0</v>
      </c>
      <c r="F95" s="26">
        <v>81</v>
      </c>
      <c r="G95" s="26">
        <v>1</v>
      </c>
      <c r="H95" s="26">
        <v>3</v>
      </c>
      <c r="I95" s="26"/>
      <c r="J95" s="42">
        <v>387</v>
      </c>
      <c r="K95" s="42">
        <v>0</v>
      </c>
      <c r="L95" s="42">
        <v>0</v>
      </c>
      <c r="M95" s="42">
        <v>0</v>
      </c>
      <c r="N95" s="37">
        <v>387</v>
      </c>
      <c r="O95" s="37"/>
      <c r="P95" s="37"/>
      <c r="Q95" s="37"/>
      <c r="R95" s="56">
        <f>+R93+1</f>
        <v>44</v>
      </c>
      <c r="S95" s="62" t="s">
        <v>171</v>
      </c>
      <c r="T95" s="24">
        <f>+C95-(C95*0.1)</f>
        <v>421.2</v>
      </c>
      <c r="U95" s="44">
        <f>+T95-C95</f>
        <v>-46.800000000000011</v>
      </c>
      <c r="V95" s="33">
        <f>+(G95+H95)</f>
        <v>4</v>
      </c>
      <c r="W95" s="33">
        <f>+V95-(V95*0.35)</f>
        <v>2.6</v>
      </c>
    </row>
    <row r="96" spans="1:23" s="3" customFormat="1" ht="17.25" x14ac:dyDescent="0.25">
      <c r="A96" s="53">
        <f>+A95+1</f>
        <v>62</v>
      </c>
      <c r="B96" s="62" t="s">
        <v>172</v>
      </c>
      <c r="C96" s="24">
        <f>SUM(D96:E96)</f>
        <v>51</v>
      </c>
      <c r="D96" s="25">
        <f>SUM(F96,J96,L96)</f>
        <v>51</v>
      </c>
      <c r="E96" s="25">
        <f>SUM(I96,K96,M96)</f>
        <v>0</v>
      </c>
      <c r="F96" s="26">
        <v>51</v>
      </c>
      <c r="G96" s="26">
        <v>0</v>
      </c>
      <c r="H96" s="26">
        <v>1</v>
      </c>
      <c r="I96" s="26"/>
      <c r="J96" s="42">
        <v>0</v>
      </c>
      <c r="K96" s="42">
        <v>0</v>
      </c>
      <c r="L96" s="42">
        <v>0</v>
      </c>
      <c r="M96" s="42">
        <v>0</v>
      </c>
      <c r="N96" s="37"/>
      <c r="O96" s="37"/>
      <c r="P96" s="37"/>
      <c r="Q96" s="37"/>
      <c r="R96" s="56">
        <f>+R95+1</f>
        <v>45</v>
      </c>
      <c r="S96" s="62" t="s">
        <v>172</v>
      </c>
      <c r="T96" s="24">
        <v>51</v>
      </c>
      <c r="U96" s="44">
        <f>+T96-C96</f>
        <v>0</v>
      </c>
      <c r="V96" s="33">
        <f>+(G96+H96)</f>
        <v>1</v>
      </c>
      <c r="W96" s="33">
        <f>+V96-(V96*0.35)</f>
        <v>0.65</v>
      </c>
    </row>
    <row r="97" spans="1:23" s="3" customFormat="1" ht="31.5" x14ac:dyDescent="0.25">
      <c r="A97" s="53">
        <f t="shared" ref="A97:A98" si="102">+A96+1</f>
        <v>63</v>
      </c>
      <c r="B97" s="62" t="s">
        <v>173</v>
      </c>
      <c r="C97" s="24">
        <f>SUM(D97:E97)</f>
        <v>20</v>
      </c>
      <c r="D97" s="25">
        <f>SUM(F97,J97,L97)</f>
        <v>20</v>
      </c>
      <c r="E97" s="25">
        <f>SUM(I97,K97,M97)</f>
        <v>0</v>
      </c>
      <c r="F97" s="26">
        <v>20</v>
      </c>
      <c r="G97" s="26"/>
      <c r="H97" s="26"/>
      <c r="I97" s="26"/>
      <c r="J97" s="42">
        <v>0</v>
      </c>
      <c r="K97" s="42">
        <v>0</v>
      </c>
      <c r="L97" s="42">
        <v>0</v>
      </c>
      <c r="M97" s="42">
        <v>0</v>
      </c>
      <c r="N97" s="37"/>
      <c r="O97" s="37"/>
      <c r="P97" s="37"/>
      <c r="Q97" s="37"/>
      <c r="R97" s="56">
        <f t="shared" ref="R97:R98" si="103">+R96+1</f>
        <v>46</v>
      </c>
      <c r="S97" s="62" t="s">
        <v>173</v>
      </c>
      <c r="T97" s="24">
        <v>20</v>
      </c>
      <c r="U97" s="44">
        <f>+T97-C97</f>
        <v>0</v>
      </c>
      <c r="V97" s="33">
        <f>+(G97+H97)</f>
        <v>0</v>
      </c>
      <c r="W97" s="33">
        <f>+V97-(V97*0.35)</f>
        <v>0</v>
      </c>
    </row>
    <row r="98" spans="1:23" s="3" customFormat="1" ht="17.25" x14ac:dyDescent="0.25">
      <c r="A98" s="53">
        <f t="shared" si="102"/>
        <v>64</v>
      </c>
      <c r="B98" s="62" t="s">
        <v>174</v>
      </c>
      <c r="C98" s="24">
        <f>SUM(D98:E98)</f>
        <v>63</v>
      </c>
      <c r="D98" s="25">
        <f>SUM(F98,J98,L98)</f>
        <v>63</v>
      </c>
      <c r="E98" s="25">
        <f>SUM(I98,K98,M98)</f>
        <v>0</v>
      </c>
      <c r="F98" s="26">
        <v>28</v>
      </c>
      <c r="G98" s="26"/>
      <c r="H98" s="26"/>
      <c r="I98" s="26"/>
      <c r="J98" s="42">
        <v>35</v>
      </c>
      <c r="K98" s="42">
        <v>0</v>
      </c>
      <c r="L98" s="42">
        <v>0</v>
      </c>
      <c r="M98" s="42">
        <v>0</v>
      </c>
      <c r="N98" s="37">
        <v>35</v>
      </c>
      <c r="O98" s="37"/>
      <c r="P98" s="37"/>
      <c r="Q98" s="37"/>
      <c r="R98" s="56">
        <f t="shared" si="103"/>
        <v>47</v>
      </c>
      <c r="S98" s="62" t="s">
        <v>174</v>
      </c>
      <c r="T98" s="24">
        <v>63</v>
      </c>
      <c r="U98" s="44">
        <f>+T98-C98</f>
        <v>0</v>
      </c>
      <c r="V98" s="33">
        <f>+(G98+H98)</f>
        <v>0</v>
      </c>
      <c r="W98" s="33">
        <f>+V98-(V98*0.35)</f>
        <v>0</v>
      </c>
    </row>
    <row r="99" spans="1:23" s="2" customFormat="1" ht="6.75" customHeight="1" x14ac:dyDescent="0.25">
      <c r="A99" s="73"/>
      <c r="B99" s="74"/>
      <c r="C99" s="19"/>
      <c r="D99" s="75"/>
      <c r="E99" s="75"/>
      <c r="F99" s="76"/>
      <c r="G99" s="76"/>
      <c r="H99" s="76"/>
      <c r="I99" s="76"/>
      <c r="J99" s="77"/>
      <c r="K99" s="77"/>
      <c r="L99" s="77"/>
      <c r="M99" s="77"/>
      <c r="N99" s="78"/>
      <c r="O99" s="78"/>
      <c r="P99" s="78"/>
      <c r="Q99" s="78"/>
      <c r="R99" s="83"/>
      <c r="S99" s="78"/>
      <c r="T99" s="19"/>
      <c r="U99" s="79"/>
      <c r="V99" s="80"/>
      <c r="W99" s="80"/>
    </row>
    <row r="100" spans="1:23" s="61" customFormat="1" ht="17.25" x14ac:dyDescent="0.25">
      <c r="A100" s="53">
        <f>+A98+1</f>
        <v>65</v>
      </c>
      <c r="B100" s="54" t="s">
        <v>29</v>
      </c>
      <c r="C100" s="24">
        <f t="shared" ref="C100" si="104">SUM(D100:E100)</f>
        <v>894</v>
      </c>
      <c r="D100" s="55">
        <f t="shared" ref="D100" si="105">SUM(F100,J100,L100)</f>
        <v>894</v>
      </c>
      <c r="E100" s="55">
        <f t="shared" ref="E100" si="106">SUM(I100,K100,M100)</f>
        <v>0</v>
      </c>
      <c r="F100" s="56">
        <v>69</v>
      </c>
      <c r="G100" s="56">
        <v>1</v>
      </c>
      <c r="H100" s="56">
        <v>2</v>
      </c>
      <c r="I100" s="56"/>
      <c r="J100" s="57">
        <v>164</v>
      </c>
      <c r="K100" s="57">
        <v>0</v>
      </c>
      <c r="L100" s="57">
        <v>661</v>
      </c>
      <c r="M100" s="57">
        <v>0</v>
      </c>
      <c r="N100" s="58">
        <v>164</v>
      </c>
      <c r="O100" s="58"/>
      <c r="P100" s="58">
        <v>661</v>
      </c>
      <c r="Q100" s="58">
        <v>0</v>
      </c>
      <c r="R100" s="56">
        <f>+R98+1</f>
        <v>48</v>
      </c>
      <c r="S100" s="54" t="s">
        <v>29</v>
      </c>
      <c r="T100" s="24">
        <f>+C100-(C100*0.15)+200</f>
        <v>959.9</v>
      </c>
      <c r="U100" s="59">
        <f>+T100-C100</f>
        <v>65.899999999999977</v>
      </c>
      <c r="V100" s="60">
        <f>+(G100+H100)</f>
        <v>3</v>
      </c>
      <c r="W100" s="60">
        <f t="shared" ref="W100" si="107">+V100-(V100*0.35)</f>
        <v>1.9500000000000002</v>
      </c>
    </row>
    <row r="101" spans="1:23" s="3" customFormat="1" ht="17.25" x14ac:dyDescent="0.25">
      <c r="A101" s="53"/>
      <c r="B101" s="23"/>
      <c r="C101" s="24"/>
      <c r="D101" s="25"/>
      <c r="E101" s="25"/>
      <c r="F101" s="26"/>
      <c r="G101" s="26"/>
      <c r="H101" s="26"/>
      <c r="I101" s="26"/>
      <c r="J101" s="42"/>
      <c r="K101" s="42"/>
      <c r="L101" s="42"/>
      <c r="M101" s="42"/>
      <c r="N101" s="37"/>
      <c r="O101" s="37"/>
      <c r="P101" s="37"/>
      <c r="Q101" s="37"/>
      <c r="R101" s="53"/>
      <c r="S101" s="52" t="s">
        <v>123</v>
      </c>
      <c r="T101" s="24"/>
      <c r="U101" s="44"/>
      <c r="V101" s="33"/>
      <c r="W101" s="33"/>
    </row>
    <row r="102" spans="1:23" s="3" customFormat="1" ht="17.25" x14ac:dyDescent="0.25">
      <c r="A102" s="53">
        <f>+A100+1</f>
        <v>66</v>
      </c>
      <c r="B102" s="63" t="s">
        <v>74</v>
      </c>
      <c r="C102" s="24">
        <f>SUM(D102:E102)</f>
        <v>90</v>
      </c>
      <c r="D102" s="25">
        <f>SUM(F102,J102,L102)</f>
        <v>73</v>
      </c>
      <c r="E102" s="25">
        <f>SUM(I102,K102,M102)</f>
        <v>17</v>
      </c>
      <c r="F102" s="26">
        <v>30</v>
      </c>
      <c r="G102" s="26">
        <v>1</v>
      </c>
      <c r="H102" s="26">
        <v>0</v>
      </c>
      <c r="I102" s="26">
        <v>3</v>
      </c>
      <c r="J102" s="42">
        <v>43</v>
      </c>
      <c r="K102" s="42">
        <v>14</v>
      </c>
      <c r="L102" s="42">
        <v>0</v>
      </c>
      <c r="M102" s="42">
        <v>0</v>
      </c>
      <c r="N102" s="37">
        <v>43</v>
      </c>
      <c r="O102" s="37">
        <v>14</v>
      </c>
      <c r="P102" s="37">
        <v>0</v>
      </c>
      <c r="Q102" s="37">
        <v>0</v>
      </c>
      <c r="R102" s="56">
        <f>+R100+1</f>
        <v>49</v>
      </c>
      <c r="S102" s="65" t="s">
        <v>74</v>
      </c>
      <c r="T102" s="24">
        <v>90</v>
      </c>
      <c r="U102" s="44">
        <f>+T102-C102</f>
        <v>0</v>
      </c>
      <c r="V102" s="33">
        <f>+(G102+H102)</f>
        <v>1</v>
      </c>
      <c r="W102" s="33">
        <f>+V102-(V102*0.35)</f>
        <v>0.65</v>
      </c>
    </row>
    <row r="103" spans="1:23" s="3" customFormat="1" ht="31.5" x14ac:dyDescent="0.25">
      <c r="A103" s="53">
        <f>+A102+1</f>
        <v>67</v>
      </c>
      <c r="B103" s="63" t="s">
        <v>50</v>
      </c>
      <c r="C103" s="24">
        <f>SUM(D103:E103)</f>
        <v>23</v>
      </c>
      <c r="D103" s="25">
        <f>SUM(F103,J103,L103)</f>
        <v>23</v>
      </c>
      <c r="E103" s="25">
        <f>SUM(I103,K103,M103)</f>
        <v>0</v>
      </c>
      <c r="F103" s="26">
        <v>23</v>
      </c>
      <c r="G103" s="26">
        <v>0</v>
      </c>
      <c r="H103" s="26">
        <v>2</v>
      </c>
      <c r="I103" s="26"/>
      <c r="J103" s="42">
        <v>0</v>
      </c>
      <c r="K103" s="42">
        <v>0</v>
      </c>
      <c r="L103" s="42">
        <v>0</v>
      </c>
      <c r="M103" s="42">
        <v>0</v>
      </c>
      <c r="N103" s="37"/>
      <c r="O103" s="37"/>
      <c r="P103" s="37"/>
      <c r="Q103" s="37"/>
      <c r="R103" s="56">
        <f>+R102+1</f>
        <v>50</v>
      </c>
      <c r="S103" s="65" t="s">
        <v>177</v>
      </c>
      <c r="T103" s="24">
        <v>23</v>
      </c>
      <c r="U103" s="44">
        <f>+T103-C103</f>
        <v>0</v>
      </c>
      <c r="V103" s="33">
        <f>+(G103+H103)</f>
        <v>2</v>
      </c>
      <c r="W103" s="33">
        <f>+V103-(V103*0.35)</f>
        <v>1.3</v>
      </c>
    </row>
    <row r="104" spans="1:23" s="7" customFormat="1" ht="17.25" x14ac:dyDescent="0.25">
      <c r="A104" s="53">
        <f>+A103+1</f>
        <v>68</v>
      </c>
      <c r="B104" s="63" t="s">
        <v>75</v>
      </c>
      <c r="C104" s="24">
        <f t="shared" ref="C104" si="108">SUM(D104:E104)</f>
        <v>210</v>
      </c>
      <c r="D104" s="25">
        <f>SUM(F104,J104,L104)</f>
        <v>210</v>
      </c>
      <c r="E104" s="25">
        <f>SUM(I104,K104,M104)</f>
        <v>0</v>
      </c>
      <c r="F104" s="26">
        <v>65</v>
      </c>
      <c r="G104" s="26">
        <v>1</v>
      </c>
      <c r="H104" s="26">
        <v>2</v>
      </c>
      <c r="I104" s="26"/>
      <c r="J104" s="42">
        <v>145</v>
      </c>
      <c r="K104" s="42">
        <v>0</v>
      </c>
      <c r="L104" s="42">
        <v>0</v>
      </c>
      <c r="M104" s="42">
        <v>0</v>
      </c>
      <c r="N104" s="37">
        <v>145</v>
      </c>
      <c r="O104" s="37"/>
      <c r="P104" s="37"/>
      <c r="Q104" s="37"/>
      <c r="R104" s="56">
        <f>+R103+1</f>
        <v>51</v>
      </c>
      <c r="S104" s="65" t="s">
        <v>178</v>
      </c>
      <c r="T104" s="24">
        <f>+C104-(C104*0.1)</f>
        <v>189</v>
      </c>
      <c r="U104" s="44">
        <f>+T104-C104</f>
        <v>-21</v>
      </c>
      <c r="V104" s="33">
        <f>+(G104+H104)</f>
        <v>3</v>
      </c>
      <c r="W104" s="33">
        <f>+V104-(V104*0.35)</f>
        <v>1.9500000000000002</v>
      </c>
    </row>
    <row r="105" spans="1:23" s="2" customFormat="1" ht="6.75" customHeight="1" x14ac:dyDescent="0.25">
      <c r="A105" s="73"/>
      <c r="B105" s="74"/>
      <c r="C105" s="19"/>
      <c r="D105" s="75"/>
      <c r="E105" s="75"/>
      <c r="F105" s="76"/>
      <c r="G105" s="76"/>
      <c r="H105" s="76"/>
      <c r="I105" s="76"/>
      <c r="J105" s="77"/>
      <c r="K105" s="77"/>
      <c r="L105" s="77"/>
      <c r="M105" s="77"/>
      <c r="N105" s="78"/>
      <c r="O105" s="78"/>
      <c r="P105" s="78"/>
      <c r="Q105" s="78"/>
      <c r="R105" s="83"/>
      <c r="S105" s="78"/>
      <c r="T105" s="19"/>
      <c r="U105" s="79"/>
      <c r="V105" s="80"/>
      <c r="W105" s="80"/>
    </row>
    <row r="106" spans="1:23" s="86" customFormat="1" ht="17.25" x14ac:dyDescent="0.25">
      <c r="A106" s="53">
        <f>+A104+1</f>
        <v>69</v>
      </c>
      <c r="B106" s="54" t="s">
        <v>101</v>
      </c>
      <c r="C106" s="24">
        <f>SUM(D106:E106)</f>
        <v>0</v>
      </c>
      <c r="D106" s="55">
        <f>SUM(F106,J106,L106)</f>
        <v>0</v>
      </c>
      <c r="E106" s="55">
        <f>SUM(I106,K106,M106)</f>
        <v>0</v>
      </c>
      <c r="F106" s="56"/>
      <c r="G106" s="56"/>
      <c r="H106" s="56"/>
      <c r="I106" s="56"/>
      <c r="J106" s="24"/>
      <c r="K106" s="24"/>
      <c r="L106" s="24"/>
      <c r="M106" s="24"/>
      <c r="N106" s="58"/>
      <c r="O106" s="58"/>
      <c r="P106" s="58"/>
      <c r="Q106" s="58"/>
      <c r="R106" s="56">
        <f>+R104+1</f>
        <v>52</v>
      </c>
      <c r="S106" s="54" t="s">
        <v>101</v>
      </c>
      <c r="T106" s="24">
        <f>+C106-(C106*0.1)</f>
        <v>0</v>
      </c>
      <c r="U106" s="59">
        <f>+T106-C106</f>
        <v>0</v>
      </c>
      <c r="V106" s="60">
        <f>+(G106+H106)</f>
        <v>0</v>
      </c>
      <c r="W106" s="60">
        <f>+V106-(V106*0.35)</f>
        <v>0</v>
      </c>
    </row>
    <row r="107" spans="1:23" s="7" customFormat="1" ht="17.25" x14ac:dyDescent="0.25">
      <c r="A107" s="53"/>
      <c r="B107" s="23"/>
      <c r="C107" s="24"/>
      <c r="D107" s="25"/>
      <c r="E107" s="25"/>
      <c r="F107" s="26"/>
      <c r="G107" s="26"/>
      <c r="H107" s="26"/>
      <c r="I107" s="26"/>
      <c r="J107" s="24"/>
      <c r="K107" s="24"/>
      <c r="L107" s="24"/>
      <c r="M107" s="24"/>
      <c r="N107" s="37"/>
      <c r="O107" s="37"/>
      <c r="P107" s="37"/>
      <c r="Q107" s="37"/>
      <c r="R107" s="56"/>
      <c r="S107" s="52" t="s">
        <v>123</v>
      </c>
      <c r="T107" s="24"/>
      <c r="U107" s="85"/>
      <c r="V107" s="33"/>
      <c r="W107" s="33"/>
    </row>
    <row r="108" spans="1:23" s="7" customFormat="1" ht="17.25" x14ac:dyDescent="0.25">
      <c r="A108" s="53">
        <f>+A106+1</f>
        <v>70</v>
      </c>
      <c r="B108" s="63" t="s">
        <v>99</v>
      </c>
      <c r="C108" s="24">
        <f t="shared" ref="C108" si="109">SUM(D108:E108)</f>
        <v>0</v>
      </c>
      <c r="D108" s="25">
        <f t="shared" ref="D108" si="110">SUM(F108,J108,L108)</f>
        <v>0</v>
      </c>
      <c r="E108" s="25">
        <f t="shared" ref="E108" si="111">SUM(I108,K108,M108)</f>
        <v>0</v>
      </c>
      <c r="F108" s="26"/>
      <c r="G108" s="26"/>
      <c r="H108" s="26"/>
      <c r="I108" s="26"/>
      <c r="J108" s="42"/>
      <c r="K108" s="42"/>
      <c r="L108" s="42"/>
      <c r="M108" s="42"/>
      <c r="N108" s="37"/>
      <c r="O108" s="37"/>
      <c r="P108" s="37"/>
      <c r="Q108" s="40"/>
      <c r="R108" s="95">
        <f>+R106+1</f>
        <v>53</v>
      </c>
      <c r="S108" s="65" t="s">
        <v>99</v>
      </c>
      <c r="T108" s="24">
        <f t="shared" ref="T108" si="112">+C108-(C108*0.1)</f>
        <v>0</v>
      </c>
      <c r="U108" s="44">
        <f t="shared" ref="U108" si="113">+T108-C108</f>
        <v>0</v>
      </c>
      <c r="V108" s="33">
        <f>+(G108+H108)</f>
        <v>0</v>
      </c>
      <c r="W108" s="33">
        <f t="shared" ref="W108" si="114">+V108-(V108*0.35)</f>
        <v>0</v>
      </c>
    </row>
    <row r="109" spans="1:23" s="2" customFormat="1" ht="6.75" customHeight="1" x14ac:dyDescent="0.25">
      <c r="A109" s="73"/>
      <c r="B109" s="74"/>
      <c r="C109" s="19"/>
      <c r="D109" s="75"/>
      <c r="E109" s="75"/>
      <c r="F109" s="76"/>
      <c r="G109" s="76"/>
      <c r="H109" s="76"/>
      <c r="I109" s="76"/>
      <c r="J109" s="77"/>
      <c r="K109" s="77"/>
      <c r="L109" s="77"/>
      <c r="M109" s="77"/>
      <c r="N109" s="78"/>
      <c r="O109" s="78"/>
      <c r="P109" s="78"/>
      <c r="Q109" s="78"/>
      <c r="R109" s="83"/>
      <c r="S109" s="78"/>
      <c r="T109" s="19"/>
      <c r="U109" s="79"/>
      <c r="V109" s="80"/>
      <c r="W109" s="80"/>
    </row>
    <row r="110" spans="1:23" s="61" customFormat="1" ht="17.25" x14ac:dyDescent="0.25">
      <c r="A110" s="53">
        <f>+A108+1</f>
        <v>71</v>
      </c>
      <c r="B110" s="54" t="s">
        <v>36</v>
      </c>
      <c r="C110" s="24">
        <f t="shared" ref="C110:C114" si="115">SUM(D110:E110)</f>
        <v>7788</v>
      </c>
      <c r="D110" s="55">
        <f t="shared" si="23"/>
        <v>1440</v>
      </c>
      <c r="E110" s="55">
        <f t="shared" si="24"/>
        <v>6348</v>
      </c>
      <c r="F110" s="56">
        <v>85</v>
      </c>
      <c r="G110" s="56">
        <v>1</v>
      </c>
      <c r="H110" s="56">
        <v>3</v>
      </c>
      <c r="I110" s="56"/>
      <c r="J110" s="57">
        <v>240</v>
      </c>
      <c r="K110" s="57">
        <v>846</v>
      </c>
      <c r="L110" s="57">
        <v>1115</v>
      </c>
      <c r="M110" s="57">
        <v>5502</v>
      </c>
      <c r="N110" s="58">
        <v>240</v>
      </c>
      <c r="O110" s="58">
        <v>846</v>
      </c>
      <c r="P110" s="58">
        <v>1115</v>
      </c>
      <c r="Q110" s="58">
        <v>5502</v>
      </c>
      <c r="R110" s="56">
        <f>+R108+1</f>
        <v>54</v>
      </c>
      <c r="S110" s="54" t="s">
        <v>36</v>
      </c>
      <c r="T110" s="24">
        <f>+C110-(C110*0.1)+20</f>
        <v>7029.2</v>
      </c>
      <c r="U110" s="59">
        <f>+T110-C110</f>
        <v>-758.80000000000018</v>
      </c>
      <c r="V110" s="60">
        <f>+(G110+H110)</f>
        <v>4</v>
      </c>
      <c r="W110" s="60">
        <f t="shared" si="22"/>
        <v>2.6</v>
      </c>
    </row>
    <row r="111" spans="1:23" s="3" customFormat="1" ht="17.25" x14ac:dyDescent="0.25">
      <c r="A111" s="53"/>
      <c r="B111" s="52" t="s">
        <v>123</v>
      </c>
      <c r="C111" s="24"/>
      <c r="D111" s="25"/>
      <c r="E111" s="25"/>
      <c r="F111" s="26"/>
      <c r="G111" s="26"/>
      <c r="H111" s="26"/>
      <c r="I111" s="26"/>
      <c r="J111" s="42"/>
      <c r="K111" s="42"/>
      <c r="L111" s="42"/>
      <c r="M111" s="42"/>
      <c r="N111" s="37"/>
      <c r="O111" s="37"/>
      <c r="P111" s="37"/>
      <c r="Q111" s="37"/>
      <c r="R111" s="53"/>
      <c r="S111" s="52"/>
      <c r="T111" s="24"/>
      <c r="U111" s="44"/>
      <c r="V111" s="33"/>
      <c r="W111" s="33"/>
    </row>
    <row r="112" spans="1:23" s="7" customFormat="1" ht="17.25" x14ac:dyDescent="0.25">
      <c r="A112" s="53">
        <f>+A110+1</f>
        <v>72</v>
      </c>
      <c r="B112" s="87" t="s">
        <v>179</v>
      </c>
      <c r="C112" s="24">
        <f>SUM(D112:E112)</f>
        <v>20</v>
      </c>
      <c r="D112" s="25">
        <f>SUM(F112,J112,L112)</f>
        <v>20</v>
      </c>
      <c r="E112" s="25">
        <f>SUM(I112,K112,M112)</f>
        <v>0</v>
      </c>
      <c r="F112" s="26">
        <v>20</v>
      </c>
      <c r="G112" s="26">
        <v>1</v>
      </c>
      <c r="H112" s="26">
        <v>1</v>
      </c>
      <c r="I112" s="26"/>
      <c r="J112" s="42">
        <v>0</v>
      </c>
      <c r="K112" s="42">
        <v>0</v>
      </c>
      <c r="L112" s="42">
        <v>0</v>
      </c>
      <c r="M112" s="42">
        <v>0</v>
      </c>
      <c r="N112" s="37"/>
      <c r="O112" s="37"/>
      <c r="P112" s="37"/>
      <c r="Q112" s="37"/>
      <c r="R112" s="56"/>
      <c r="S112" s="37"/>
      <c r="T112" s="24">
        <v>0</v>
      </c>
      <c r="U112" s="44">
        <f>+T112-C112</f>
        <v>-20</v>
      </c>
      <c r="V112" s="33">
        <f>+(G112+H112)</f>
        <v>2</v>
      </c>
      <c r="W112" s="33">
        <f>+V112-(V112*0.35)</f>
        <v>1.3</v>
      </c>
    </row>
    <row r="113" spans="1:23" s="2" customFormat="1" ht="6.75" customHeight="1" x14ac:dyDescent="0.25">
      <c r="A113" s="73"/>
      <c r="B113" s="74"/>
      <c r="C113" s="19"/>
      <c r="D113" s="75"/>
      <c r="E113" s="75"/>
      <c r="F113" s="76"/>
      <c r="G113" s="76"/>
      <c r="H113" s="76"/>
      <c r="I113" s="76"/>
      <c r="J113" s="77"/>
      <c r="K113" s="77"/>
      <c r="L113" s="77"/>
      <c r="M113" s="77"/>
      <c r="N113" s="78"/>
      <c r="O113" s="78"/>
      <c r="P113" s="78"/>
      <c r="Q113" s="78"/>
      <c r="R113" s="83"/>
      <c r="S113" s="78"/>
      <c r="T113" s="19"/>
      <c r="U113" s="79"/>
      <c r="V113" s="80"/>
      <c r="W113" s="80"/>
    </row>
    <row r="114" spans="1:23" s="61" customFormat="1" ht="17.25" x14ac:dyDescent="0.25">
      <c r="A114" s="53">
        <f>+A112+1</f>
        <v>73</v>
      </c>
      <c r="B114" s="54" t="s">
        <v>37</v>
      </c>
      <c r="C114" s="24">
        <f t="shared" si="115"/>
        <v>115</v>
      </c>
      <c r="D114" s="55">
        <f t="shared" si="23"/>
        <v>115</v>
      </c>
      <c r="E114" s="55">
        <f t="shared" si="24"/>
        <v>0</v>
      </c>
      <c r="F114" s="56">
        <v>115</v>
      </c>
      <c r="G114" s="56">
        <v>1</v>
      </c>
      <c r="H114" s="56">
        <v>2</v>
      </c>
      <c r="I114" s="56"/>
      <c r="J114" s="57">
        <v>0</v>
      </c>
      <c r="K114" s="57">
        <v>0</v>
      </c>
      <c r="L114" s="57">
        <v>0</v>
      </c>
      <c r="M114" s="57">
        <v>0</v>
      </c>
      <c r="N114" s="58"/>
      <c r="O114" s="58"/>
      <c r="P114" s="58"/>
      <c r="Q114" s="58"/>
      <c r="R114" s="56">
        <f>+R110+1</f>
        <v>55</v>
      </c>
      <c r="S114" s="54" t="s">
        <v>37</v>
      </c>
      <c r="T114" s="24">
        <f>+C114</f>
        <v>115</v>
      </c>
      <c r="U114" s="59">
        <f>+T114-C114</f>
        <v>0</v>
      </c>
      <c r="V114" s="60">
        <f>+(G114+H114)</f>
        <v>3</v>
      </c>
      <c r="W114" s="60">
        <f t="shared" si="22"/>
        <v>1.9500000000000002</v>
      </c>
    </row>
    <row r="115" spans="1:23" s="61" customFormat="1" ht="17.25" x14ac:dyDescent="0.25">
      <c r="A115" s="53"/>
      <c r="B115" s="52" t="s">
        <v>123</v>
      </c>
      <c r="C115" s="24"/>
      <c r="D115" s="55"/>
      <c r="E115" s="55"/>
      <c r="F115" s="56"/>
      <c r="G115" s="56"/>
      <c r="H115" s="56"/>
      <c r="I115" s="56"/>
      <c r="J115" s="57"/>
      <c r="K115" s="57"/>
      <c r="L115" s="57"/>
      <c r="M115" s="57"/>
      <c r="N115" s="58"/>
      <c r="O115" s="58"/>
      <c r="P115" s="58"/>
      <c r="Q115" s="58"/>
      <c r="R115" s="53"/>
      <c r="S115" s="52" t="s">
        <v>123</v>
      </c>
      <c r="T115" s="24"/>
      <c r="U115" s="59"/>
      <c r="V115" s="60"/>
      <c r="W115" s="60"/>
    </row>
    <row r="116" spans="1:23" s="3" customFormat="1" ht="17.25" x14ac:dyDescent="0.25">
      <c r="A116" s="53">
        <f>+A114+1</f>
        <v>74</v>
      </c>
      <c r="B116" s="70" t="s">
        <v>181</v>
      </c>
      <c r="C116" s="24">
        <f>SUM(D116:E116)</f>
        <v>198</v>
      </c>
      <c r="D116" s="25">
        <f>SUM(F116,J116,L116)</f>
        <v>198</v>
      </c>
      <c r="E116" s="25">
        <f>SUM(I116,K116,M116)</f>
        <v>0</v>
      </c>
      <c r="F116" s="26">
        <v>198</v>
      </c>
      <c r="G116" s="26"/>
      <c r="H116" s="26">
        <v>1</v>
      </c>
      <c r="I116" s="26"/>
      <c r="J116" s="42">
        <v>0</v>
      </c>
      <c r="K116" s="42">
        <v>0</v>
      </c>
      <c r="L116" s="42">
        <v>0</v>
      </c>
      <c r="M116" s="42">
        <v>0</v>
      </c>
      <c r="N116" s="37"/>
      <c r="O116" s="37"/>
      <c r="P116" s="37"/>
      <c r="Q116" s="37"/>
      <c r="R116" s="168">
        <f>+R114+1</f>
        <v>56</v>
      </c>
      <c r="S116" s="166" t="s">
        <v>183</v>
      </c>
      <c r="T116" s="170">
        <f>+(C116+C117)-((C116*0.15)+(C117*0.15))</f>
        <v>196.35</v>
      </c>
      <c r="U116" s="172">
        <f>+T116-C116-C117</f>
        <v>-34.650000000000006</v>
      </c>
      <c r="V116" s="33">
        <f>+(G116+H116)</f>
        <v>1</v>
      </c>
      <c r="W116" s="33">
        <f>+V116-(V116*0.35)</f>
        <v>0.65</v>
      </c>
    </row>
    <row r="117" spans="1:23" s="3" customFormat="1" ht="17.25" x14ac:dyDescent="0.25">
      <c r="A117" s="53">
        <f>+A116+1</f>
        <v>75</v>
      </c>
      <c r="B117" s="70" t="s">
        <v>182</v>
      </c>
      <c r="C117" s="24">
        <f>SUM(D117:E117)</f>
        <v>33</v>
      </c>
      <c r="D117" s="25">
        <f>SUM(F117,J117,L117)</f>
        <v>33</v>
      </c>
      <c r="E117" s="25">
        <f>SUM(I117,K117,M117)</f>
        <v>0</v>
      </c>
      <c r="F117" s="26">
        <v>33</v>
      </c>
      <c r="G117" s="26"/>
      <c r="H117" s="26">
        <v>1</v>
      </c>
      <c r="I117" s="26"/>
      <c r="J117" s="42">
        <v>0</v>
      </c>
      <c r="K117" s="42">
        <v>0</v>
      </c>
      <c r="L117" s="42">
        <v>0</v>
      </c>
      <c r="M117" s="42">
        <v>0</v>
      </c>
      <c r="N117" s="37"/>
      <c r="O117" s="37"/>
      <c r="P117" s="37"/>
      <c r="Q117" s="37"/>
      <c r="R117" s="169"/>
      <c r="S117" s="167"/>
      <c r="T117" s="171"/>
      <c r="U117" s="173"/>
      <c r="V117" s="33">
        <f>+(G117+H117)</f>
        <v>1</v>
      </c>
      <c r="W117" s="33">
        <f>+V117-(V117*0.35)</f>
        <v>0.65</v>
      </c>
    </row>
    <row r="118" spans="1:23" s="3" customFormat="1" ht="17.25" x14ac:dyDescent="0.25">
      <c r="A118" s="53">
        <f t="shared" ref="A118" si="116">+A117+1</f>
        <v>76</v>
      </c>
      <c r="B118" s="88" t="s">
        <v>184</v>
      </c>
      <c r="C118" s="24">
        <f>SUM(D118:E118)</f>
        <v>48</v>
      </c>
      <c r="D118" s="25">
        <f>SUM(F118,J118,L118)</f>
        <v>48</v>
      </c>
      <c r="E118" s="25">
        <f>SUM(I118,K118,M118)</f>
        <v>0</v>
      </c>
      <c r="F118" s="26">
        <v>48</v>
      </c>
      <c r="G118" s="26">
        <v>1</v>
      </c>
      <c r="H118" s="26">
        <v>1</v>
      </c>
      <c r="I118" s="26"/>
      <c r="J118" s="42">
        <v>0</v>
      </c>
      <c r="K118" s="42">
        <v>0</v>
      </c>
      <c r="L118" s="42">
        <v>0</v>
      </c>
      <c r="M118" s="42">
        <v>0</v>
      </c>
      <c r="N118" s="37"/>
      <c r="O118" s="37"/>
      <c r="P118" s="37"/>
      <c r="Q118" s="37"/>
      <c r="R118" s="56">
        <f>+R116+1</f>
        <v>57</v>
      </c>
      <c r="S118" s="88" t="s">
        <v>184</v>
      </c>
      <c r="T118" s="24">
        <v>48</v>
      </c>
      <c r="U118" s="44">
        <f>+T118-C118</f>
        <v>0</v>
      </c>
      <c r="V118" s="33">
        <f>+(G118+H118)</f>
        <v>2</v>
      </c>
      <c r="W118" s="33">
        <f>+V118-(V118*0.35)</f>
        <v>1.3</v>
      </c>
    </row>
    <row r="119" spans="1:23" s="2" customFormat="1" ht="6.75" customHeight="1" x14ac:dyDescent="0.25">
      <c r="A119" s="73"/>
      <c r="B119" s="74"/>
      <c r="C119" s="19"/>
      <c r="D119" s="75"/>
      <c r="E119" s="75"/>
      <c r="F119" s="76"/>
      <c r="G119" s="76"/>
      <c r="H119" s="76"/>
      <c r="I119" s="76"/>
      <c r="J119" s="77"/>
      <c r="K119" s="77"/>
      <c r="L119" s="77"/>
      <c r="M119" s="77"/>
      <c r="N119" s="78"/>
      <c r="O119" s="78"/>
      <c r="P119" s="78"/>
      <c r="Q119" s="78"/>
      <c r="R119" s="83"/>
      <c r="S119" s="78"/>
      <c r="T119" s="19"/>
      <c r="U119" s="79"/>
      <c r="V119" s="80"/>
      <c r="W119" s="80"/>
    </row>
    <row r="120" spans="1:23" s="61" customFormat="1" ht="17.25" x14ac:dyDescent="0.25">
      <c r="A120" s="53">
        <f>+A118+1</f>
        <v>77</v>
      </c>
      <c r="B120" s="54" t="s">
        <v>24</v>
      </c>
      <c r="C120" s="24">
        <f t="shared" si="21"/>
        <v>562</v>
      </c>
      <c r="D120" s="55">
        <f t="shared" si="23"/>
        <v>562</v>
      </c>
      <c r="E120" s="55">
        <f t="shared" si="24"/>
        <v>0</v>
      </c>
      <c r="F120" s="56">
        <v>143</v>
      </c>
      <c r="G120" s="56">
        <v>1</v>
      </c>
      <c r="H120" s="56">
        <v>4</v>
      </c>
      <c r="I120" s="56"/>
      <c r="J120" s="57">
        <v>419</v>
      </c>
      <c r="K120" s="57">
        <v>0</v>
      </c>
      <c r="L120" s="57">
        <v>0</v>
      </c>
      <c r="M120" s="57">
        <v>0</v>
      </c>
      <c r="N120" s="58">
        <v>419</v>
      </c>
      <c r="O120" s="58"/>
      <c r="P120" s="58"/>
      <c r="Q120" s="58"/>
      <c r="R120" s="56">
        <f>+R118+1</f>
        <v>58</v>
      </c>
      <c r="S120" s="54" t="s">
        <v>24</v>
      </c>
      <c r="T120" s="24">
        <f>562+110+90</f>
        <v>762</v>
      </c>
      <c r="U120" s="59">
        <f>+T120-C120</f>
        <v>200</v>
      </c>
      <c r="V120" s="60">
        <f>+(G120+H120)</f>
        <v>5</v>
      </c>
      <c r="W120" s="60">
        <f t="shared" si="22"/>
        <v>3.25</v>
      </c>
    </row>
    <row r="121" spans="1:23" s="3" customFormat="1" ht="17.25" x14ac:dyDescent="0.25">
      <c r="A121" s="53"/>
      <c r="B121" s="52" t="s">
        <v>123</v>
      </c>
      <c r="C121" s="24"/>
      <c r="D121" s="25"/>
      <c r="E121" s="25"/>
      <c r="F121" s="26"/>
      <c r="G121" s="26"/>
      <c r="H121" s="26"/>
      <c r="I121" s="26"/>
      <c r="J121" s="42"/>
      <c r="K121" s="42"/>
      <c r="L121" s="42"/>
      <c r="M121" s="42"/>
      <c r="N121" s="37"/>
      <c r="O121" s="37"/>
      <c r="P121" s="37"/>
      <c r="Q121" s="37"/>
      <c r="R121" s="53"/>
      <c r="S121" s="52" t="s">
        <v>123</v>
      </c>
      <c r="T121" s="24"/>
      <c r="U121" s="44"/>
      <c r="V121" s="33"/>
      <c r="W121" s="33"/>
    </row>
    <row r="122" spans="1:23" s="3" customFormat="1" ht="17.25" x14ac:dyDescent="0.25">
      <c r="A122" s="53">
        <f>+A120+1</f>
        <v>78</v>
      </c>
      <c r="B122" s="88" t="s">
        <v>185</v>
      </c>
      <c r="C122" s="24">
        <f t="shared" ref="C122" si="117">SUM(D122:E122)</f>
        <v>114</v>
      </c>
      <c r="D122" s="25">
        <f>SUM(F122,J122,L122)</f>
        <v>114</v>
      </c>
      <c r="E122" s="25">
        <f>SUM(I122,K122,M122)</f>
        <v>0</v>
      </c>
      <c r="F122" s="26">
        <f>91+23</f>
        <v>114</v>
      </c>
      <c r="G122" s="26">
        <v>1</v>
      </c>
      <c r="H122" s="26">
        <v>2</v>
      </c>
      <c r="I122" s="32"/>
      <c r="J122" s="42">
        <v>0</v>
      </c>
      <c r="K122" s="42">
        <v>0</v>
      </c>
      <c r="L122" s="42">
        <v>0</v>
      </c>
      <c r="M122" s="42">
        <v>0</v>
      </c>
      <c r="N122" s="37"/>
      <c r="O122" s="37"/>
      <c r="P122" s="37"/>
      <c r="Q122" s="37"/>
      <c r="R122" s="56">
        <f>+R120+1</f>
        <v>59</v>
      </c>
      <c r="S122" s="88" t="s">
        <v>185</v>
      </c>
      <c r="T122" s="24">
        <v>114</v>
      </c>
      <c r="U122" s="44">
        <f>+T122-C122</f>
        <v>0</v>
      </c>
      <c r="V122" s="33">
        <f>+(G122+H122)</f>
        <v>3</v>
      </c>
      <c r="W122" s="33">
        <f>+V122-(V122*0.35)</f>
        <v>1.9500000000000002</v>
      </c>
    </row>
    <row r="123" spans="1:23" s="3" customFormat="1" ht="17.25" x14ac:dyDescent="0.25">
      <c r="A123" s="53">
        <f>+A122+1</f>
        <v>79</v>
      </c>
      <c r="B123" s="70" t="s">
        <v>186</v>
      </c>
      <c r="C123" s="24">
        <f>SUM(D123:E123)</f>
        <v>110</v>
      </c>
      <c r="D123" s="25">
        <f>SUM(F123,J123,L123)</f>
        <v>62</v>
      </c>
      <c r="E123" s="25">
        <f>SUM(I123,K123,M123)</f>
        <v>48</v>
      </c>
      <c r="F123" s="26">
        <v>27</v>
      </c>
      <c r="G123" s="26"/>
      <c r="H123" s="26">
        <v>1</v>
      </c>
      <c r="I123" s="26">
        <v>20</v>
      </c>
      <c r="J123" s="42">
        <v>35</v>
      </c>
      <c r="K123" s="42">
        <v>28</v>
      </c>
      <c r="L123" s="42">
        <v>0</v>
      </c>
      <c r="M123" s="42">
        <v>0</v>
      </c>
      <c r="N123" s="37">
        <v>35</v>
      </c>
      <c r="O123" s="37">
        <v>28</v>
      </c>
      <c r="P123" s="37">
        <v>0</v>
      </c>
      <c r="Q123" s="37">
        <v>0</v>
      </c>
      <c r="R123" s="56"/>
      <c r="S123" s="37"/>
      <c r="T123" s="24">
        <v>0</v>
      </c>
      <c r="U123" s="44">
        <f>+T123-C123</f>
        <v>-110</v>
      </c>
      <c r="V123" s="33">
        <f>+(G123+H123)</f>
        <v>1</v>
      </c>
      <c r="W123" s="33">
        <f>+V123-(V123*0.35)</f>
        <v>0.65</v>
      </c>
    </row>
    <row r="124" spans="1:23" s="3" customFormat="1" ht="17.25" x14ac:dyDescent="0.25">
      <c r="A124" s="53">
        <f>+A123+1</f>
        <v>80</v>
      </c>
      <c r="B124" s="70" t="s">
        <v>187</v>
      </c>
      <c r="C124" s="24">
        <f>SUM(D124:E124)</f>
        <v>108</v>
      </c>
      <c r="D124" s="25">
        <f>SUM(F124,J124,L124)</f>
        <v>108</v>
      </c>
      <c r="E124" s="25">
        <f>SUM(I124,K124,M124)</f>
        <v>0</v>
      </c>
      <c r="F124" s="26">
        <f>80+28</f>
        <v>108</v>
      </c>
      <c r="G124" s="26">
        <v>1</v>
      </c>
      <c r="H124" s="26">
        <v>2</v>
      </c>
      <c r="I124" s="26"/>
      <c r="J124" s="42">
        <v>0</v>
      </c>
      <c r="K124" s="42">
        <v>0</v>
      </c>
      <c r="L124" s="42">
        <v>0</v>
      </c>
      <c r="M124" s="42">
        <v>0</v>
      </c>
      <c r="N124" s="37"/>
      <c r="O124" s="37"/>
      <c r="P124" s="37"/>
      <c r="Q124" s="37"/>
      <c r="R124" s="56"/>
      <c r="S124" s="37"/>
      <c r="T124" s="24">
        <v>0</v>
      </c>
      <c r="U124" s="44">
        <f>+T124-C124</f>
        <v>-108</v>
      </c>
      <c r="V124" s="33">
        <f>+(G124+H124)</f>
        <v>3</v>
      </c>
      <c r="W124" s="33">
        <f>+V124-(V124*0.35)</f>
        <v>1.9500000000000002</v>
      </c>
    </row>
    <row r="125" spans="1:23" s="2" customFormat="1" ht="6.75" customHeight="1" x14ac:dyDescent="0.25">
      <c r="A125" s="73"/>
      <c r="B125" s="74"/>
      <c r="C125" s="19"/>
      <c r="D125" s="75"/>
      <c r="E125" s="75"/>
      <c r="F125" s="76"/>
      <c r="G125" s="76"/>
      <c r="H125" s="76"/>
      <c r="I125" s="76"/>
      <c r="J125" s="77"/>
      <c r="K125" s="77"/>
      <c r="L125" s="77"/>
      <c r="M125" s="77"/>
      <c r="N125" s="78"/>
      <c r="O125" s="78"/>
      <c r="P125" s="78"/>
      <c r="Q125" s="78"/>
      <c r="R125" s="83"/>
      <c r="S125" s="78"/>
      <c r="T125" s="19"/>
      <c r="U125" s="79"/>
      <c r="V125" s="80"/>
      <c r="W125" s="80"/>
    </row>
    <row r="126" spans="1:23" s="61" customFormat="1" ht="17.25" x14ac:dyDescent="0.25">
      <c r="A126" s="53">
        <f>+A124+1</f>
        <v>81</v>
      </c>
      <c r="B126" s="54" t="s">
        <v>6</v>
      </c>
      <c r="C126" s="24">
        <f t="shared" ref="C126" si="118">SUM(D126:E126)</f>
        <v>277</v>
      </c>
      <c r="D126" s="55">
        <f t="shared" si="23"/>
        <v>277</v>
      </c>
      <c r="E126" s="55">
        <f t="shared" si="24"/>
        <v>0</v>
      </c>
      <c r="F126" s="56">
        <f>11+266</f>
        <v>277</v>
      </c>
      <c r="G126" s="56">
        <v>1</v>
      </c>
      <c r="H126" s="56">
        <v>4</v>
      </c>
      <c r="I126" s="56"/>
      <c r="J126" s="57">
        <v>0</v>
      </c>
      <c r="K126" s="57"/>
      <c r="L126" s="57"/>
      <c r="M126" s="57"/>
      <c r="N126" s="58"/>
      <c r="O126" s="58"/>
      <c r="P126" s="58"/>
      <c r="Q126" s="58"/>
      <c r="R126" s="56">
        <f>+R122+1</f>
        <v>60</v>
      </c>
      <c r="S126" s="54" t="s">
        <v>6</v>
      </c>
      <c r="T126" s="24">
        <f>+C126-(C126*0.1)</f>
        <v>249.3</v>
      </c>
      <c r="U126" s="59">
        <f>+T126-C126</f>
        <v>-27.699999999999989</v>
      </c>
      <c r="V126" s="60">
        <f>+(G126+H126)</f>
        <v>5</v>
      </c>
      <c r="W126" s="60">
        <f t="shared" si="22"/>
        <v>3.25</v>
      </c>
    </row>
    <row r="127" spans="1:23" s="2" customFormat="1" ht="6.75" customHeight="1" x14ac:dyDescent="0.25">
      <c r="A127" s="73"/>
      <c r="B127" s="74"/>
      <c r="C127" s="19"/>
      <c r="D127" s="75"/>
      <c r="E127" s="75"/>
      <c r="F127" s="76"/>
      <c r="G127" s="76"/>
      <c r="H127" s="76"/>
      <c r="I127" s="76"/>
      <c r="J127" s="77"/>
      <c r="K127" s="77"/>
      <c r="L127" s="77"/>
      <c r="M127" s="77"/>
      <c r="N127" s="78"/>
      <c r="O127" s="78"/>
      <c r="P127" s="78"/>
      <c r="Q127" s="78"/>
      <c r="R127" s="83"/>
      <c r="S127" s="78"/>
      <c r="T127" s="19"/>
      <c r="U127" s="79"/>
      <c r="V127" s="80"/>
      <c r="W127" s="80"/>
    </row>
    <row r="128" spans="1:23" s="86" customFormat="1" ht="17.25" x14ac:dyDescent="0.25">
      <c r="A128" s="53">
        <f>+A126+1</f>
        <v>82</v>
      </c>
      <c r="B128" s="54" t="s">
        <v>100</v>
      </c>
      <c r="C128" s="24">
        <f t="shared" si="21"/>
        <v>0</v>
      </c>
      <c r="D128" s="55">
        <f t="shared" si="23"/>
        <v>0</v>
      </c>
      <c r="E128" s="55">
        <f>SUM(I128,K128,M128)</f>
        <v>0</v>
      </c>
      <c r="F128" s="56"/>
      <c r="G128" s="56"/>
      <c r="H128" s="56"/>
      <c r="I128" s="56"/>
      <c r="J128" s="24"/>
      <c r="K128" s="24"/>
      <c r="L128" s="24"/>
      <c r="M128" s="24"/>
      <c r="N128" s="58"/>
      <c r="O128" s="58"/>
      <c r="P128" s="58"/>
      <c r="Q128" s="58"/>
      <c r="R128" s="56">
        <f>+R126+1</f>
        <v>61</v>
      </c>
      <c r="S128" s="54" t="s">
        <v>100</v>
      </c>
      <c r="T128" s="24"/>
      <c r="U128" s="85"/>
      <c r="V128" s="60">
        <f>+(G128+H128)</f>
        <v>0</v>
      </c>
      <c r="W128" s="60">
        <f t="shared" si="22"/>
        <v>0</v>
      </c>
    </row>
    <row r="129" spans="1:23" s="2" customFormat="1" ht="6.75" customHeight="1" x14ac:dyDescent="0.25">
      <c r="A129" s="73"/>
      <c r="B129" s="74"/>
      <c r="C129" s="19"/>
      <c r="D129" s="75"/>
      <c r="E129" s="75"/>
      <c r="F129" s="76"/>
      <c r="G129" s="76"/>
      <c r="H129" s="76"/>
      <c r="I129" s="76"/>
      <c r="J129" s="77"/>
      <c r="K129" s="77"/>
      <c r="L129" s="77"/>
      <c r="M129" s="77"/>
      <c r="N129" s="78"/>
      <c r="O129" s="78"/>
      <c r="P129" s="78"/>
      <c r="Q129" s="78"/>
      <c r="R129" s="83"/>
      <c r="S129" s="78"/>
      <c r="T129" s="19"/>
      <c r="U129" s="79"/>
      <c r="V129" s="80"/>
      <c r="W129" s="80"/>
    </row>
    <row r="130" spans="1:23" s="86" customFormat="1" ht="17.25" x14ac:dyDescent="0.25">
      <c r="A130" s="53">
        <f>+A128+1</f>
        <v>83</v>
      </c>
      <c r="B130" s="54" t="s">
        <v>102</v>
      </c>
      <c r="C130" s="24">
        <f t="shared" ref="C130" si="119">SUM(D130:E130)</f>
        <v>0</v>
      </c>
      <c r="D130" s="55">
        <f t="shared" ref="D130" si="120">SUM(F130,J130,L130)</f>
        <v>0</v>
      </c>
      <c r="E130" s="55">
        <f t="shared" ref="E130" si="121">SUM(I130,K130,M130)</f>
        <v>0</v>
      </c>
      <c r="F130" s="56"/>
      <c r="G130" s="56"/>
      <c r="H130" s="56"/>
      <c r="I130" s="56"/>
      <c r="J130" s="24"/>
      <c r="K130" s="24"/>
      <c r="L130" s="24"/>
      <c r="M130" s="24"/>
      <c r="N130" s="58"/>
      <c r="O130" s="58"/>
      <c r="P130" s="58"/>
      <c r="Q130" s="58"/>
      <c r="R130" s="56">
        <f>+R128+1</f>
        <v>62</v>
      </c>
      <c r="S130" s="54" t="s">
        <v>102</v>
      </c>
      <c r="T130" s="24"/>
      <c r="U130" s="85"/>
      <c r="V130" s="60">
        <f>+(G130+H130)</f>
        <v>0</v>
      </c>
      <c r="W130" s="60">
        <f t="shared" ref="W130" si="122">+V130-(V130*0.35)</f>
        <v>0</v>
      </c>
    </row>
    <row r="131" spans="1:23" s="86" customFormat="1" ht="17.25" x14ac:dyDescent="0.25">
      <c r="A131" s="53"/>
      <c r="B131" s="52" t="s">
        <v>123</v>
      </c>
      <c r="C131" s="24"/>
      <c r="D131" s="55"/>
      <c r="E131" s="55"/>
      <c r="F131" s="56"/>
      <c r="G131" s="56"/>
      <c r="H131" s="56"/>
      <c r="I131" s="56"/>
      <c r="J131" s="24"/>
      <c r="K131" s="24"/>
      <c r="L131" s="24"/>
      <c r="M131" s="24"/>
      <c r="N131" s="58"/>
      <c r="O131" s="58"/>
      <c r="P131" s="58"/>
      <c r="Q131" s="58"/>
      <c r="R131" s="56"/>
      <c r="S131" s="52" t="s">
        <v>123</v>
      </c>
      <c r="T131" s="24"/>
      <c r="U131" s="85"/>
      <c r="V131" s="60"/>
      <c r="W131" s="60"/>
    </row>
    <row r="132" spans="1:23" s="86" customFormat="1" ht="17.25" x14ac:dyDescent="0.25">
      <c r="A132" s="53">
        <f>+A130+1</f>
        <v>84</v>
      </c>
      <c r="B132" s="54" t="s">
        <v>200</v>
      </c>
      <c r="C132" s="24">
        <f t="shared" ref="C132" si="123">SUM(D132:E132)</f>
        <v>0</v>
      </c>
      <c r="D132" s="55">
        <f t="shared" ref="D132" si="124">SUM(F132,J132,L132)</f>
        <v>0</v>
      </c>
      <c r="E132" s="55">
        <f>SUM(I132,K132,M132)</f>
        <v>0</v>
      </c>
      <c r="F132" s="56"/>
      <c r="G132" s="56"/>
      <c r="H132" s="56"/>
      <c r="I132" s="56"/>
      <c r="J132" s="57"/>
      <c r="K132" s="57"/>
      <c r="L132" s="57"/>
      <c r="M132" s="57"/>
      <c r="N132" s="58"/>
      <c r="O132" s="58"/>
      <c r="P132" s="58"/>
      <c r="Q132" s="58"/>
      <c r="R132" s="56">
        <f>+R130+1</f>
        <v>63</v>
      </c>
      <c r="S132" s="54" t="s">
        <v>200</v>
      </c>
      <c r="T132" s="24">
        <v>0</v>
      </c>
      <c r="U132" s="59">
        <f t="shared" ref="U132" si="125">+T132-C132</f>
        <v>0</v>
      </c>
      <c r="V132" s="60">
        <f t="shared" ref="V132" si="126">+(G132+H132)</f>
        <v>0</v>
      </c>
      <c r="W132" s="60">
        <f t="shared" ref="W132" si="127">+V132-(V132*0.35)</f>
        <v>0</v>
      </c>
    </row>
    <row r="133" spans="1:23" s="2" customFormat="1" ht="6.75" customHeight="1" x14ac:dyDescent="0.25">
      <c r="A133" s="73"/>
      <c r="B133" s="74"/>
      <c r="C133" s="19"/>
      <c r="D133" s="75"/>
      <c r="E133" s="75"/>
      <c r="F133" s="76"/>
      <c r="G133" s="76"/>
      <c r="H133" s="76"/>
      <c r="I133" s="76"/>
      <c r="J133" s="77"/>
      <c r="K133" s="77"/>
      <c r="L133" s="77"/>
      <c r="M133" s="77"/>
      <c r="N133" s="78"/>
      <c r="O133" s="78"/>
      <c r="P133" s="78"/>
      <c r="Q133" s="78"/>
      <c r="R133" s="83"/>
      <c r="S133" s="78"/>
      <c r="T133" s="19"/>
      <c r="U133" s="79"/>
      <c r="V133" s="80"/>
      <c r="W133" s="80"/>
    </row>
    <row r="134" spans="1:23" s="61" customFormat="1" ht="31.5" x14ac:dyDescent="0.25">
      <c r="A134" s="53">
        <f>+A132+1</f>
        <v>85</v>
      </c>
      <c r="B134" s="54" t="s">
        <v>189</v>
      </c>
      <c r="C134" s="24">
        <f t="shared" ref="C134" si="128">SUM(D134:E134)</f>
        <v>413</v>
      </c>
      <c r="D134" s="55">
        <f t="shared" ref="D134" si="129">SUM(F134,J134,L134)</f>
        <v>413</v>
      </c>
      <c r="E134" s="55">
        <f t="shared" ref="E134" si="130">SUM(I134,K134,M134)</f>
        <v>0</v>
      </c>
      <c r="F134" s="56">
        <v>108</v>
      </c>
      <c r="G134" s="56">
        <v>1</v>
      </c>
      <c r="H134" s="56">
        <v>2</v>
      </c>
      <c r="I134" s="56"/>
      <c r="J134" s="57">
        <v>305</v>
      </c>
      <c r="K134" s="57">
        <v>0</v>
      </c>
      <c r="L134" s="57">
        <v>0</v>
      </c>
      <c r="M134" s="57">
        <v>0</v>
      </c>
      <c r="N134" s="58">
        <v>305</v>
      </c>
      <c r="O134" s="58">
        <v>0</v>
      </c>
      <c r="P134" s="58">
        <v>0</v>
      </c>
      <c r="Q134" s="58">
        <v>0</v>
      </c>
      <c r="R134" s="56">
        <f>+R132+1</f>
        <v>64</v>
      </c>
      <c r="S134" s="54" t="s">
        <v>188</v>
      </c>
      <c r="T134" s="24">
        <v>413</v>
      </c>
      <c r="U134" s="59">
        <f>+T134-C134</f>
        <v>0</v>
      </c>
      <c r="V134" s="60">
        <f>+(G134+H134)</f>
        <v>3</v>
      </c>
      <c r="W134" s="60">
        <f t="shared" ref="W134" si="131">+V134-(V134*0.35)</f>
        <v>1.9500000000000002</v>
      </c>
    </row>
    <row r="135" spans="1:23" s="7" customFormat="1" ht="17.25" x14ac:dyDescent="0.25">
      <c r="A135" s="53"/>
      <c r="B135" s="52" t="s">
        <v>190</v>
      </c>
      <c r="C135" s="24"/>
      <c r="D135" s="25"/>
      <c r="E135" s="25"/>
      <c r="F135" s="26"/>
      <c r="G135" s="26"/>
      <c r="H135" s="26"/>
      <c r="I135" s="26"/>
      <c r="J135" s="24"/>
      <c r="K135" s="24"/>
      <c r="L135" s="24"/>
      <c r="M135" s="24"/>
      <c r="N135" s="37"/>
      <c r="O135" s="37"/>
      <c r="P135" s="37"/>
      <c r="Q135" s="37"/>
      <c r="R135" s="56"/>
      <c r="S135" s="52"/>
      <c r="T135" s="24"/>
      <c r="U135" s="85"/>
      <c r="V135" s="33"/>
      <c r="W135" s="33"/>
    </row>
    <row r="136" spans="1:23" s="3" customFormat="1" ht="17.25" x14ac:dyDescent="0.25">
      <c r="A136" s="53">
        <f>+A134+1</f>
        <v>86</v>
      </c>
      <c r="B136" s="70" t="s">
        <v>191</v>
      </c>
      <c r="C136" s="24">
        <f>SUM(D136:E136)</f>
        <v>32</v>
      </c>
      <c r="D136" s="25">
        <f>SUM(F136,J136,L136)</f>
        <v>32</v>
      </c>
      <c r="E136" s="25">
        <f>SUM(I136,K136,M136)</f>
        <v>0</v>
      </c>
      <c r="F136" s="26">
        <v>32</v>
      </c>
      <c r="G136" s="26">
        <v>1</v>
      </c>
      <c r="H136" s="26"/>
      <c r="I136" s="26"/>
      <c r="J136" s="42">
        <v>0</v>
      </c>
      <c r="K136" s="42">
        <v>0</v>
      </c>
      <c r="L136" s="42">
        <v>0</v>
      </c>
      <c r="M136" s="42">
        <v>0</v>
      </c>
      <c r="N136" s="37"/>
      <c r="O136" s="37"/>
      <c r="P136" s="37"/>
      <c r="Q136" s="37"/>
      <c r="R136" s="56"/>
      <c r="S136" s="37"/>
      <c r="T136" s="24">
        <v>0</v>
      </c>
      <c r="U136" s="44">
        <f>+T136-C136</f>
        <v>-32</v>
      </c>
      <c r="V136" s="33">
        <f>+(G136+H136)</f>
        <v>1</v>
      </c>
      <c r="W136" s="33">
        <f>+V136-(V136*0.35)</f>
        <v>0.65</v>
      </c>
    </row>
    <row r="137" spans="1:23" s="2" customFormat="1" ht="6.75" customHeight="1" x14ac:dyDescent="0.25">
      <c r="A137" s="73"/>
      <c r="B137" s="74"/>
      <c r="C137" s="19"/>
      <c r="D137" s="75"/>
      <c r="E137" s="75"/>
      <c r="F137" s="76"/>
      <c r="G137" s="76"/>
      <c r="H137" s="76"/>
      <c r="I137" s="76"/>
      <c r="J137" s="77"/>
      <c r="K137" s="77"/>
      <c r="L137" s="77"/>
      <c r="M137" s="77"/>
      <c r="N137" s="78"/>
      <c r="O137" s="78"/>
      <c r="P137" s="78"/>
      <c r="Q137" s="78"/>
      <c r="R137" s="83"/>
      <c r="S137" s="78"/>
      <c r="T137" s="19"/>
      <c r="U137" s="79"/>
      <c r="V137" s="80"/>
      <c r="W137" s="80"/>
    </row>
    <row r="138" spans="1:23" s="61" customFormat="1" ht="17.25" x14ac:dyDescent="0.25">
      <c r="A138" s="53">
        <f>+A136+1</f>
        <v>87</v>
      </c>
      <c r="B138" s="54" t="s">
        <v>193</v>
      </c>
      <c r="C138" s="24">
        <f t="shared" ref="C138" si="132">SUM(D138:E138)</f>
        <v>1885</v>
      </c>
      <c r="D138" s="55">
        <f t="shared" ref="D138" si="133">SUM(F138,J138,L138)</f>
        <v>1885</v>
      </c>
      <c r="E138" s="55">
        <f t="shared" ref="E138" si="134">SUM(I138,K138,M138)</f>
        <v>0</v>
      </c>
      <c r="F138" s="56">
        <v>266</v>
      </c>
      <c r="G138" s="56">
        <v>0</v>
      </c>
      <c r="H138" s="56">
        <v>2</v>
      </c>
      <c r="I138" s="56"/>
      <c r="J138" s="57">
        <v>859</v>
      </c>
      <c r="K138" s="57">
        <v>0</v>
      </c>
      <c r="L138" s="57">
        <v>760</v>
      </c>
      <c r="M138" s="57">
        <v>0</v>
      </c>
      <c r="N138" s="58">
        <v>859</v>
      </c>
      <c r="O138" s="58"/>
      <c r="P138" s="58">
        <v>760</v>
      </c>
      <c r="Q138" s="58"/>
      <c r="R138" s="56">
        <f>+R134+1</f>
        <v>65</v>
      </c>
      <c r="S138" s="54" t="s">
        <v>192</v>
      </c>
      <c r="T138" s="24">
        <v>1885</v>
      </c>
      <c r="U138" s="59">
        <f>+T138-C138</f>
        <v>0</v>
      </c>
      <c r="V138" s="60">
        <f>+(G138+H138)</f>
        <v>2</v>
      </c>
      <c r="W138" s="60">
        <f>+V138-(V138*0.35)</f>
        <v>1.3</v>
      </c>
    </row>
    <row r="139" spans="1:23" s="2" customFormat="1" ht="6.75" customHeight="1" x14ac:dyDescent="0.25">
      <c r="A139" s="73"/>
      <c r="B139" s="74"/>
      <c r="C139" s="19"/>
      <c r="D139" s="75"/>
      <c r="E139" s="75"/>
      <c r="F139" s="76"/>
      <c r="G139" s="76"/>
      <c r="H139" s="76"/>
      <c r="I139" s="76"/>
      <c r="J139" s="77"/>
      <c r="K139" s="77"/>
      <c r="L139" s="77"/>
      <c r="M139" s="77"/>
      <c r="N139" s="78"/>
      <c r="O139" s="78"/>
      <c r="P139" s="78"/>
      <c r="Q139" s="78"/>
      <c r="R139" s="83"/>
      <c r="S139" s="78"/>
      <c r="T139" s="19"/>
      <c r="U139" s="79"/>
      <c r="V139" s="80"/>
      <c r="W139" s="80"/>
    </row>
    <row r="140" spans="1:23" s="61" customFormat="1" ht="17.25" x14ac:dyDescent="0.25">
      <c r="A140" s="53">
        <f>+A138+1</f>
        <v>88</v>
      </c>
      <c r="B140" s="54" t="s">
        <v>194</v>
      </c>
      <c r="C140" s="24">
        <f>SUM(D140:E140)</f>
        <v>324</v>
      </c>
      <c r="D140" s="55">
        <f>SUM(F140,J140,L140)</f>
        <v>324</v>
      </c>
      <c r="E140" s="55">
        <f>SUM(I140,K140,M140)</f>
        <v>0</v>
      </c>
      <c r="F140" s="56">
        <v>68</v>
      </c>
      <c r="G140" s="56">
        <v>1</v>
      </c>
      <c r="H140" s="56">
        <v>2</v>
      </c>
      <c r="I140" s="56"/>
      <c r="J140" s="57">
        <v>49</v>
      </c>
      <c r="K140" s="57">
        <v>0</v>
      </c>
      <c r="L140" s="57">
        <v>207</v>
      </c>
      <c r="M140" s="57">
        <v>0</v>
      </c>
      <c r="N140" s="58">
        <v>49</v>
      </c>
      <c r="O140" s="58"/>
      <c r="P140" s="58">
        <v>207</v>
      </c>
      <c r="Q140" s="58"/>
      <c r="R140" s="56">
        <f>+R138+1</f>
        <v>66</v>
      </c>
      <c r="S140" s="54" t="s">
        <v>194</v>
      </c>
      <c r="T140" s="24">
        <f>+C140-(C140*0.1)</f>
        <v>291.60000000000002</v>
      </c>
      <c r="U140" s="59">
        <f>+T140-C140</f>
        <v>-32.399999999999977</v>
      </c>
      <c r="V140" s="60">
        <f>+(G140+H140)</f>
        <v>3</v>
      </c>
      <c r="W140" s="60">
        <f>+V140-(V140*0.35)</f>
        <v>1.9500000000000002</v>
      </c>
    </row>
    <row r="141" spans="1:23" s="2" customFormat="1" ht="6.75" customHeight="1" x14ac:dyDescent="0.25">
      <c r="A141" s="73"/>
      <c r="B141" s="74"/>
      <c r="C141" s="19"/>
      <c r="D141" s="75"/>
      <c r="E141" s="75"/>
      <c r="F141" s="76"/>
      <c r="G141" s="76"/>
      <c r="H141" s="76"/>
      <c r="I141" s="76"/>
      <c r="J141" s="77"/>
      <c r="K141" s="77"/>
      <c r="L141" s="77"/>
      <c r="M141" s="77"/>
      <c r="N141" s="78"/>
      <c r="O141" s="78"/>
      <c r="P141" s="78"/>
      <c r="Q141" s="78"/>
      <c r="R141" s="83"/>
      <c r="S141" s="78"/>
      <c r="T141" s="19"/>
      <c r="U141" s="79"/>
      <c r="V141" s="80"/>
      <c r="W141" s="80"/>
    </row>
    <row r="142" spans="1:23" s="61" customFormat="1" ht="31.5" x14ac:dyDescent="0.25">
      <c r="A142" s="53">
        <f>+A140+1</f>
        <v>89</v>
      </c>
      <c r="B142" s="63" t="s">
        <v>70</v>
      </c>
      <c r="C142" s="24">
        <f t="shared" ref="C142" si="135">SUM(D142:E142)</f>
        <v>73</v>
      </c>
      <c r="D142" s="55">
        <f t="shared" ref="D142" si="136">SUM(F142,J142,L142)</f>
        <v>73</v>
      </c>
      <c r="E142" s="55">
        <f t="shared" ref="E142" si="137">SUM(I142,K142,M142)</f>
        <v>0</v>
      </c>
      <c r="F142" s="56">
        <v>31</v>
      </c>
      <c r="G142" s="56">
        <v>0</v>
      </c>
      <c r="H142" s="56">
        <v>2</v>
      </c>
      <c r="I142" s="56"/>
      <c r="J142" s="57">
        <v>42</v>
      </c>
      <c r="K142" s="57">
        <v>0</v>
      </c>
      <c r="L142" s="57">
        <v>0</v>
      </c>
      <c r="M142" s="57">
        <v>0</v>
      </c>
      <c r="N142" s="58">
        <v>42</v>
      </c>
      <c r="O142" s="58"/>
      <c r="P142" s="58"/>
      <c r="Q142" s="58"/>
      <c r="R142" s="56"/>
      <c r="S142" s="58"/>
      <c r="T142" s="24">
        <v>0</v>
      </c>
      <c r="U142" s="59">
        <f>+T142-C142</f>
        <v>-73</v>
      </c>
      <c r="V142" s="60">
        <f>+(G142+H142)</f>
        <v>2</v>
      </c>
      <c r="W142" s="60">
        <f t="shared" ref="W142" si="138">+V142-(V142*0.35)</f>
        <v>1.3</v>
      </c>
    </row>
    <row r="143" spans="1:23" s="2" customFormat="1" ht="6.75" customHeight="1" x14ac:dyDescent="0.25">
      <c r="A143" s="73"/>
      <c r="B143" s="74"/>
      <c r="C143" s="19"/>
      <c r="D143" s="75"/>
      <c r="E143" s="75"/>
      <c r="F143" s="76"/>
      <c r="G143" s="76"/>
      <c r="H143" s="76"/>
      <c r="I143" s="76"/>
      <c r="J143" s="77"/>
      <c r="K143" s="77"/>
      <c r="L143" s="77"/>
      <c r="M143" s="77"/>
      <c r="N143" s="78"/>
      <c r="O143" s="78"/>
      <c r="P143" s="78"/>
      <c r="Q143" s="78"/>
      <c r="R143" s="83"/>
      <c r="S143" s="78"/>
      <c r="T143" s="19"/>
      <c r="U143" s="79"/>
      <c r="V143" s="80"/>
      <c r="W143" s="80"/>
    </row>
    <row r="144" spans="1:23" s="3" customFormat="1" ht="31.5" x14ac:dyDescent="0.25">
      <c r="A144" s="53">
        <f>+A142+1</f>
        <v>90</v>
      </c>
      <c r="B144" s="63" t="s">
        <v>86</v>
      </c>
      <c r="C144" s="24">
        <f t="shared" ref="C144:C146" si="139">SUM(D144:E144)</f>
        <v>132</v>
      </c>
      <c r="D144" s="25">
        <f t="shared" ref="D144:D146" si="140">SUM(F144,J144,L144)</f>
        <v>108</v>
      </c>
      <c r="E144" s="25">
        <f t="shared" ref="E144:E146" si="141">SUM(I144,K144,M144)</f>
        <v>24</v>
      </c>
      <c r="F144" s="26">
        <v>108</v>
      </c>
      <c r="G144" s="26">
        <v>1</v>
      </c>
      <c r="H144" s="26">
        <v>1</v>
      </c>
      <c r="I144" s="26">
        <v>24</v>
      </c>
      <c r="J144" s="42">
        <v>0</v>
      </c>
      <c r="K144" s="42">
        <v>0</v>
      </c>
      <c r="L144" s="42">
        <v>0</v>
      </c>
      <c r="M144" s="42">
        <v>0</v>
      </c>
      <c r="N144" s="37"/>
      <c r="O144" s="37"/>
      <c r="P144" s="37"/>
      <c r="Q144" s="37"/>
      <c r="R144" s="56"/>
      <c r="S144" s="65"/>
      <c r="T144" s="24">
        <v>0</v>
      </c>
      <c r="U144" s="44">
        <f t="shared" ref="U144:U146" si="142">+T144-C144</f>
        <v>-132</v>
      </c>
      <c r="V144" s="33">
        <f>+(G144+H144)</f>
        <v>2</v>
      </c>
      <c r="W144" s="33">
        <f t="shared" ref="W144" si="143">+V144-(V144*0.35)</f>
        <v>1.3</v>
      </c>
    </row>
    <row r="145" spans="1:23" s="2" customFormat="1" ht="6.75" customHeight="1" x14ac:dyDescent="0.25">
      <c r="A145" s="73"/>
      <c r="B145" s="74"/>
      <c r="C145" s="19"/>
      <c r="D145" s="75"/>
      <c r="E145" s="75"/>
      <c r="F145" s="76"/>
      <c r="G145" s="76"/>
      <c r="H145" s="76"/>
      <c r="I145" s="76"/>
      <c r="J145" s="77"/>
      <c r="K145" s="77"/>
      <c r="L145" s="77"/>
      <c r="M145" s="77"/>
      <c r="N145" s="78"/>
      <c r="O145" s="78"/>
      <c r="P145" s="78"/>
      <c r="Q145" s="78"/>
      <c r="R145" s="83"/>
      <c r="S145" s="78"/>
      <c r="T145" s="19"/>
      <c r="U145" s="79"/>
      <c r="V145" s="80"/>
      <c r="W145" s="80"/>
    </row>
    <row r="146" spans="1:23" s="86" customFormat="1" ht="17.25" x14ac:dyDescent="0.25">
      <c r="A146" s="53">
        <f>+A144+1</f>
        <v>91</v>
      </c>
      <c r="B146" s="54" t="s">
        <v>195</v>
      </c>
      <c r="C146" s="24">
        <f t="shared" si="139"/>
        <v>25</v>
      </c>
      <c r="D146" s="55">
        <f t="shared" si="140"/>
        <v>25</v>
      </c>
      <c r="E146" s="55">
        <f t="shared" si="141"/>
        <v>0</v>
      </c>
      <c r="F146" s="56">
        <v>25</v>
      </c>
      <c r="G146" s="56">
        <v>0</v>
      </c>
      <c r="H146" s="56">
        <v>0</v>
      </c>
      <c r="I146" s="56">
        <v>0</v>
      </c>
      <c r="J146" s="57">
        <v>0</v>
      </c>
      <c r="K146" s="57">
        <v>0</v>
      </c>
      <c r="L146" s="57">
        <v>0</v>
      </c>
      <c r="M146" s="57">
        <v>0</v>
      </c>
      <c r="N146" s="58"/>
      <c r="O146" s="58"/>
      <c r="P146" s="58"/>
      <c r="Q146" s="58"/>
      <c r="R146" s="56">
        <f>+R140+1</f>
        <v>67</v>
      </c>
      <c r="S146" s="54" t="s">
        <v>195</v>
      </c>
      <c r="T146" s="24">
        <f>+C146</f>
        <v>25</v>
      </c>
      <c r="U146" s="59">
        <f t="shared" si="142"/>
        <v>0</v>
      </c>
      <c r="V146" s="60"/>
      <c r="W146" s="60"/>
    </row>
    <row r="147" spans="1:23" s="2" customFormat="1" ht="6.75" customHeight="1" x14ac:dyDescent="0.25">
      <c r="A147" s="73"/>
      <c r="B147" s="74"/>
      <c r="C147" s="19"/>
      <c r="D147" s="75"/>
      <c r="E147" s="75"/>
      <c r="F147" s="76"/>
      <c r="G147" s="76"/>
      <c r="H147" s="76"/>
      <c r="I147" s="76"/>
      <c r="J147" s="77"/>
      <c r="K147" s="77"/>
      <c r="L147" s="77"/>
      <c r="M147" s="77"/>
      <c r="N147" s="78"/>
      <c r="O147" s="78"/>
      <c r="P147" s="78"/>
      <c r="Q147" s="78"/>
      <c r="R147" s="83"/>
      <c r="S147" s="78"/>
      <c r="T147" s="19"/>
      <c r="U147" s="79"/>
      <c r="V147" s="80"/>
      <c r="W147" s="80"/>
    </row>
    <row r="148" spans="1:23" s="61" customFormat="1" ht="17.25" x14ac:dyDescent="0.25">
      <c r="A148" s="53">
        <f>+A146+1</f>
        <v>92</v>
      </c>
      <c r="B148" s="54" t="s">
        <v>10</v>
      </c>
      <c r="C148" s="24">
        <f t="shared" ref="C148" si="144">SUM(D148:E148)</f>
        <v>155</v>
      </c>
      <c r="D148" s="55">
        <f t="shared" ref="D148" si="145">SUM(F148,J148,L148)</f>
        <v>13</v>
      </c>
      <c r="E148" s="55">
        <f t="shared" ref="E148" si="146">SUM(I148,K148,M148)</f>
        <v>142</v>
      </c>
      <c r="F148" s="56">
        <v>13</v>
      </c>
      <c r="G148" s="56">
        <v>1</v>
      </c>
      <c r="H148" s="56">
        <v>1</v>
      </c>
      <c r="I148" s="56">
        <v>142</v>
      </c>
      <c r="J148" s="57">
        <v>0</v>
      </c>
      <c r="K148" s="57">
        <v>0</v>
      </c>
      <c r="L148" s="57">
        <v>0</v>
      </c>
      <c r="M148" s="57">
        <v>0</v>
      </c>
      <c r="N148" s="58"/>
      <c r="O148" s="58"/>
      <c r="P148" s="58"/>
      <c r="Q148" s="58"/>
      <c r="R148" s="56">
        <f>+R146+1</f>
        <v>68</v>
      </c>
      <c r="S148" s="54" t="s">
        <v>10</v>
      </c>
      <c r="T148" s="24">
        <f>+C148-(C148*0.1)</f>
        <v>139.5</v>
      </c>
      <c r="U148" s="59">
        <f>+T148-C148</f>
        <v>-15.5</v>
      </c>
      <c r="V148" s="60">
        <f>+(G148+H148)</f>
        <v>2</v>
      </c>
      <c r="W148" s="60">
        <f t="shared" ref="W148" si="147">+V148-(V148*0.35)</f>
        <v>1.3</v>
      </c>
    </row>
    <row r="149" spans="1:23" s="2" customFormat="1" ht="6.75" customHeight="1" x14ac:dyDescent="0.25">
      <c r="A149" s="73"/>
      <c r="B149" s="74"/>
      <c r="C149" s="19"/>
      <c r="D149" s="75"/>
      <c r="E149" s="75"/>
      <c r="F149" s="76"/>
      <c r="G149" s="76"/>
      <c r="H149" s="76"/>
      <c r="I149" s="76"/>
      <c r="J149" s="77"/>
      <c r="K149" s="77"/>
      <c r="L149" s="77"/>
      <c r="M149" s="77"/>
      <c r="N149" s="78"/>
      <c r="O149" s="78"/>
      <c r="P149" s="78"/>
      <c r="Q149" s="78"/>
      <c r="R149" s="83"/>
      <c r="S149" s="78"/>
      <c r="T149" s="19"/>
      <c r="U149" s="79"/>
      <c r="V149" s="80"/>
      <c r="W149" s="80"/>
    </row>
    <row r="150" spans="1:23" s="61" customFormat="1" ht="31.5" x14ac:dyDescent="0.25">
      <c r="A150" s="53">
        <f>+A148+1</f>
        <v>93</v>
      </c>
      <c r="B150" s="54" t="s">
        <v>196</v>
      </c>
      <c r="C150" s="24">
        <f t="shared" ref="C150" si="148">SUM(D150:E150)</f>
        <v>33</v>
      </c>
      <c r="D150" s="55">
        <f t="shared" ref="D150" si="149">SUM(F150,J150,L150)</f>
        <v>33</v>
      </c>
      <c r="E150" s="55">
        <f t="shared" ref="E150" si="150">SUM(I150,K150,M150)</f>
        <v>0</v>
      </c>
      <c r="F150" s="56">
        <v>9</v>
      </c>
      <c r="G150" s="56"/>
      <c r="H150" s="56">
        <v>1</v>
      </c>
      <c r="I150" s="56"/>
      <c r="J150" s="57">
        <v>24</v>
      </c>
      <c r="K150" s="57">
        <v>0</v>
      </c>
      <c r="L150" s="57">
        <v>0</v>
      </c>
      <c r="M150" s="57">
        <v>0</v>
      </c>
      <c r="N150" s="58">
        <v>24</v>
      </c>
      <c r="O150" s="58"/>
      <c r="P150" s="58"/>
      <c r="Q150" s="58"/>
      <c r="R150" s="56">
        <f>+R148+1</f>
        <v>69</v>
      </c>
      <c r="S150" s="54" t="s">
        <v>197</v>
      </c>
      <c r="T150" s="24">
        <v>33</v>
      </c>
      <c r="U150" s="59">
        <f t="shared" ref="U150:U152" si="151">+T150-C150</f>
        <v>0</v>
      </c>
      <c r="V150" s="60">
        <f>+(G150+H150)</f>
        <v>1</v>
      </c>
      <c r="W150" s="60">
        <f t="shared" ref="W150" si="152">+V150-(V150*0.35)</f>
        <v>0.65</v>
      </c>
    </row>
    <row r="151" spans="1:23" s="2" customFormat="1" ht="6.75" customHeight="1" x14ac:dyDescent="0.25">
      <c r="A151" s="73"/>
      <c r="B151" s="74"/>
      <c r="C151" s="19"/>
      <c r="D151" s="75"/>
      <c r="E151" s="75"/>
      <c r="F151" s="76"/>
      <c r="G151" s="76"/>
      <c r="H151" s="76"/>
      <c r="I151" s="76"/>
      <c r="J151" s="77"/>
      <c r="K151" s="77"/>
      <c r="L151" s="77"/>
      <c r="M151" s="77"/>
      <c r="N151" s="78"/>
      <c r="O151" s="78"/>
      <c r="P151" s="78"/>
      <c r="Q151" s="78"/>
      <c r="R151" s="83"/>
      <c r="S151" s="78"/>
      <c r="T151" s="19"/>
      <c r="U151" s="79"/>
      <c r="V151" s="80"/>
      <c r="W151" s="80"/>
    </row>
    <row r="152" spans="1:23" s="3" customFormat="1" ht="31.5" x14ac:dyDescent="0.25">
      <c r="A152" s="53">
        <f>+A150+1</f>
        <v>94</v>
      </c>
      <c r="B152" s="54" t="s">
        <v>92</v>
      </c>
      <c r="C152" s="24">
        <f t="shared" ref="C152" si="153">SUM(D152:E152)</f>
        <v>18</v>
      </c>
      <c r="D152" s="25">
        <f t="shared" ref="D152" si="154">SUM(F152,J152,L152)</f>
        <v>18</v>
      </c>
      <c r="E152" s="25">
        <f t="shared" ref="E152" si="155">SUM(I152,K152,M152)</f>
        <v>0</v>
      </c>
      <c r="F152" s="26">
        <v>18</v>
      </c>
      <c r="G152" s="26"/>
      <c r="H152" s="26"/>
      <c r="I152" s="26"/>
      <c r="J152" s="42">
        <v>0</v>
      </c>
      <c r="K152" s="42">
        <v>0</v>
      </c>
      <c r="L152" s="42">
        <v>0</v>
      </c>
      <c r="M152" s="42">
        <v>0</v>
      </c>
      <c r="N152" s="37"/>
      <c r="O152" s="37"/>
      <c r="P152" s="37"/>
      <c r="Q152" s="37"/>
      <c r="R152" s="56">
        <f>+R150+1</f>
        <v>70</v>
      </c>
      <c r="S152" s="54" t="s">
        <v>201</v>
      </c>
      <c r="T152" s="24">
        <v>18</v>
      </c>
      <c r="U152" s="59">
        <f t="shared" si="151"/>
        <v>0</v>
      </c>
      <c r="V152" s="33">
        <f t="shared" ref="V152" si="156">+(G152+H152)</f>
        <v>0</v>
      </c>
      <c r="W152" s="33">
        <f t="shared" ref="W152" si="157">+V152-(V152*0.35)</f>
        <v>0</v>
      </c>
    </row>
  </sheetData>
  <mergeCells count="64">
    <mergeCell ref="A2:U2"/>
    <mergeCell ref="B3:D3"/>
    <mergeCell ref="A5:A8"/>
    <mergeCell ref="B5:B8"/>
    <mergeCell ref="C5:C8"/>
    <mergeCell ref="D5:E6"/>
    <mergeCell ref="F5:I6"/>
    <mergeCell ref="J5:M5"/>
    <mergeCell ref="N5:Q5"/>
    <mergeCell ref="T5:T8"/>
    <mergeCell ref="S5:S8"/>
    <mergeCell ref="A4:C4"/>
    <mergeCell ref="R5:R8"/>
    <mergeCell ref="J6:K6"/>
    <mergeCell ref="L6:M6"/>
    <mergeCell ref="N6:O6"/>
    <mergeCell ref="R46:R47"/>
    <mergeCell ref="J7:J8"/>
    <mergeCell ref="K7:K8"/>
    <mergeCell ref="L7:L8"/>
    <mergeCell ref="M7:M8"/>
    <mergeCell ref="P6:Q6"/>
    <mergeCell ref="D7:D8"/>
    <mergeCell ref="E7:E8"/>
    <mergeCell ref="F7:F8"/>
    <mergeCell ref="G7:H7"/>
    <mergeCell ref="I7:I8"/>
    <mergeCell ref="S42:S44"/>
    <mergeCell ref="T42:T44"/>
    <mergeCell ref="U42:U44"/>
    <mergeCell ref="R42:R44"/>
    <mergeCell ref="T19:T20"/>
    <mergeCell ref="S19:S20"/>
    <mergeCell ref="U19:U20"/>
    <mergeCell ref="S36:S37"/>
    <mergeCell ref="T36:T37"/>
    <mergeCell ref="U36:U37"/>
    <mergeCell ref="S39:S40"/>
    <mergeCell ref="T39:T40"/>
    <mergeCell ref="R36:R37"/>
    <mergeCell ref="S116:S117"/>
    <mergeCell ref="R116:R117"/>
    <mergeCell ref="T116:T117"/>
    <mergeCell ref="U116:U117"/>
    <mergeCell ref="R76:R77"/>
    <mergeCell ref="S76:S77"/>
    <mergeCell ref="T76:T77"/>
    <mergeCell ref="U76:U77"/>
    <mergeCell ref="R4:T4"/>
    <mergeCell ref="U4:U8"/>
    <mergeCell ref="S79:S80"/>
    <mergeCell ref="R79:R80"/>
    <mergeCell ref="T79:T80"/>
    <mergeCell ref="U79:U80"/>
    <mergeCell ref="S46:S47"/>
    <mergeCell ref="T46:T47"/>
    <mergeCell ref="U46:U47"/>
    <mergeCell ref="S54:S55"/>
    <mergeCell ref="R54:R55"/>
    <mergeCell ref="T54:T55"/>
    <mergeCell ref="U54:U55"/>
    <mergeCell ref="U39:U40"/>
    <mergeCell ref="R19:R20"/>
    <mergeCell ref="R39:R40"/>
  </mergeCells>
  <printOptions horizontalCentered="1"/>
  <pageMargins left="0.19685039370078741" right="0.19685039370078741" top="0.39370078740157483" bottom="0.19685039370078741" header="0.31496062992125984" footer="0.31496062992125984"/>
  <pageSetup paperSize="12" scale="80" orientation="landscape" r:id="rId1"/>
  <headerFooter differentFirst="1"/>
  <ignoredErrors>
    <ignoredError sqref="C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9"/>
  <sheetViews>
    <sheetView view="pageBreakPreview" zoomScale="115" zoomScaleNormal="100" zoomScaleSheetLayoutView="115" zoomScalePageLayoutView="85" workbookViewId="0">
      <selection activeCell="C10" sqref="C10"/>
    </sheetView>
  </sheetViews>
  <sheetFormatPr defaultRowHeight="16.5" x14ac:dyDescent="0.25"/>
  <cols>
    <col min="1" max="1" width="4.42578125" style="82" bestFit="1" customWidth="1"/>
    <col min="2" max="2" width="84.7109375" style="5" customWidth="1"/>
    <col min="3" max="3" width="13.42578125" style="5" bestFit="1" customWidth="1"/>
    <col min="4" max="4" width="4.42578125" style="81" bestFit="1" customWidth="1"/>
    <col min="5" max="5" width="84.7109375" style="5" customWidth="1"/>
    <col min="6" max="6" width="13.42578125" style="5" bestFit="1" customWidth="1"/>
    <col min="7" max="7" width="8.5703125" style="5" bestFit="1" customWidth="1"/>
    <col min="8" max="16384" width="9.140625" style="5"/>
  </cols>
  <sheetData>
    <row r="2" spans="1:10" ht="41.25" customHeight="1" x14ac:dyDescent="0.25">
      <c r="A2" s="155" t="s">
        <v>117</v>
      </c>
      <c r="B2" s="155"/>
      <c r="C2" s="155"/>
      <c r="D2" s="155"/>
      <c r="E2" s="155"/>
      <c r="F2" s="155"/>
      <c r="G2" s="155"/>
    </row>
    <row r="3" spans="1:10" x14ac:dyDescent="0.25">
      <c r="B3" s="153" t="s">
        <v>108</v>
      </c>
      <c r="C3" s="154"/>
      <c r="D3" s="154"/>
      <c r="E3" s="153"/>
      <c r="F3" s="154"/>
    </row>
    <row r="4" spans="1:10" s="89" customFormat="1" ht="15.75" x14ac:dyDescent="0.25">
      <c r="A4" s="190" t="s">
        <v>199</v>
      </c>
      <c r="B4" s="190"/>
      <c r="C4" s="190"/>
      <c r="D4" s="190" t="s">
        <v>124</v>
      </c>
      <c r="E4" s="190"/>
      <c r="F4" s="190"/>
      <c r="G4" s="149" t="s">
        <v>120</v>
      </c>
    </row>
    <row r="5" spans="1:10" s="13" customFormat="1" ht="48" customHeight="1" x14ac:dyDescent="0.25">
      <c r="A5" s="94" t="s">
        <v>0</v>
      </c>
      <c r="B5" s="93" t="s">
        <v>1</v>
      </c>
      <c r="C5" s="93" t="s">
        <v>112</v>
      </c>
      <c r="D5" s="94" t="s">
        <v>0</v>
      </c>
      <c r="E5" s="93" t="s">
        <v>1</v>
      </c>
      <c r="F5" s="93" t="s">
        <v>112</v>
      </c>
      <c r="G5" s="149"/>
    </row>
    <row r="6" spans="1:10" s="12" customFormat="1" ht="17.25" x14ac:dyDescent="0.25">
      <c r="A6" s="18"/>
      <c r="B6" s="11"/>
      <c r="C6" s="18">
        <f>SUM(C7:C149)</f>
        <v>97099.512499999983</v>
      </c>
      <c r="D6" s="16"/>
      <c r="E6" s="17" t="s">
        <v>5</v>
      </c>
      <c r="F6" s="18">
        <f>SUM(F7:F149)</f>
        <v>107189.75</v>
      </c>
      <c r="G6" s="92">
        <f>SUM(G7:G149)</f>
        <v>-10090.237500000003</v>
      </c>
    </row>
    <row r="7" spans="1:10" s="61" customFormat="1" x14ac:dyDescent="0.25">
      <c r="A7" s="53">
        <v>1</v>
      </c>
      <c r="B7" s="54" t="s">
        <v>125</v>
      </c>
      <c r="C7" s="96">
        <f>+$F$7-($F$7*0.15)+28+18</f>
        <v>1215.5999999999999</v>
      </c>
      <c r="D7" s="53">
        <v>1</v>
      </c>
      <c r="E7" s="54" t="s">
        <v>26</v>
      </c>
      <c r="F7" s="96">
        <v>1376</v>
      </c>
      <c r="G7" s="44">
        <f>+C7-F7</f>
        <v>-160.40000000000009</v>
      </c>
    </row>
    <row r="8" spans="1:10" s="3" customFormat="1" x14ac:dyDescent="0.25">
      <c r="A8" s="53"/>
      <c r="B8" s="52" t="s">
        <v>123</v>
      </c>
      <c r="C8" s="96"/>
      <c r="D8" s="53"/>
      <c r="E8" s="52"/>
      <c r="F8" s="96"/>
      <c r="G8" s="44"/>
    </row>
    <row r="9" spans="1:10" s="3" customFormat="1" x14ac:dyDescent="0.25">
      <c r="A9" s="53">
        <f>+A7+1</f>
        <v>2</v>
      </c>
      <c r="B9" s="62" t="s">
        <v>126</v>
      </c>
      <c r="C9" s="96">
        <v>55</v>
      </c>
      <c r="D9" s="53">
        <f>+D7+1</f>
        <v>2</v>
      </c>
      <c r="E9" s="62" t="s">
        <v>126</v>
      </c>
      <c r="F9" s="96">
        <v>55</v>
      </c>
      <c r="G9" s="44">
        <f t="shared" ref="G9:G14" si="0">+C9-F9</f>
        <v>0</v>
      </c>
    </row>
    <row r="10" spans="1:10" s="3" customFormat="1" x14ac:dyDescent="0.25">
      <c r="A10" s="53">
        <f>+A9+1</f>
        <v>3</v>
      </c>
      <c r="B10" s="65" t="s">
        <v>127</v>
      </c>
      <c r="C10" s="96">
        <f>+($F$10-($F$10*0.15))/2</f>
        <v>199.75</v>
      </c>
      <c r="D10" s="53">
        <f>+D9+1</f>
        <v>3</v>
      </c>
      <c r="E10" s="63" t="s">
        <v>30</v>
      </c>
      <c r="F10" s="96">
        <v>470</v>
      </c>
      <c r="G10" s="44">
        <f t="shared" si="0"/>
        <v>-270.25</v>
      </c>
    </row>
    <row r="11" spans="1:10" s="3" customFormat="1" x14ac:dyDescent="0.25">
      <c r="A11" s="53">
        <f t="shared" ref="A11:A12" si="1">+A10+1</f>
        <v>4</v>
      </c>
      <c r="B11" s="62" t="s">
        <v>128</v>
      </c>
      <c r="C11" s="96">
        <v>29</v>
      </c>
      <c r="D11" s="53">
        <f t="shared" ref="D11:D14" si="2">+D10+1</f>
        <v>4</v>
      </c>
      <c r="E11" s="62" t="s">
        <v>128</v>
      </c>
      <c r="F11" s="96">
        <v>29</v>
      </c>
      <c r="G11" s="44">
        <f t="shared" si="0"/>
        <v>0</v>
      </c>
    </row>
    <row r="12" spans="1:10" s="3" customFormat="1" x14ac:dyDescent="0.25">
      <c r="A12" s="53">
        <f t="shared" si="1"/>
        <v>5</v>
      </c>
      <c r="B12" s="62" t="s">
        <v>129</v>
      </c>
      <c r="C12" s="96">
        <v>28</v>
      </c>
      <c r="D12" s="53">
        <f t="shared" si="2"/>
        <v>5</v>
      </c>
      <c r="E12" s="62" t="s">
        <v>129</v>
      </c>
      <c r="F12" s="96">
        <v>28</v>
      </c>
      <c r="G12" s="44">
        <f t="shared" si="0"/>
        <v>0</v>
      </c>
    </row>
    <row r="13" spans="1:10" s="7" customFormat="1" ht="17.25" x14ac:dyDescent="0.25">
      <c r="A13" s="56"/>
      <c r="B13" s="37"/>
      <c r="C13" s="96">
        <v>0</v>
      </c>
      <c r="D13" s="53">
        <f t="shared" si="2"/>
        <v>6</v>
      </c>
      <c r="E13" s="70" t="s">
        <v>130</v>
      </c>
      <c r="F13" s="96">
        <v>37</v>
      </c>
      <c r="G13" s="44">
        <f t="shared" si="0"/>
        <v>-37</v>
      </c>
    </row>
    <row r="14" spans="1:10" s="3" customFormat="1" ht="17.25" x14ac:dyDescent="0.25">
      <c r="A14" s="56"/>
      <c r="B14" s="37"/>
      <c r="C14" s="96">
        <v>0</v>
      </c>
      <c r="D14" s="53">
        <f t="shared" si="2"/>
        <v>7</v>
      </c>
      <c r="E14" s="70" t="s">
        <v>198</v>
      </c>
      <c r="F14" s="96">
        <v>31</v>
      </c>
      <c r="G14" s="44">
        <f t="shared" si="0"/>
        <v>-31</v>
      </c>
    </row>
    <row r="15" spans="1:10" s="2" customFormat="1" ht="6.75" customHeight="1" x14ac:dyDescent="0.25">
      <c r="A15" s="83"/>
      <c r="B15" s="78"/>
      <c r="C15" s="97"/>
      <c r="D15" s="73"/>
      <c r="E15" s="74"/>
      <c r="F15" s="97"/>
      <c r="G15" s="79"/>
    </row>
    <row r="16" spans="1:10" s="3" customFormat="1" x14ac:dyDescent="0.25">
      <c r="A16" s="195">
        <f>+A12+1</f>
        <v>6</v>
      </c>
      <c r="B16" s="197" t="s">
        <v>131</v>
      </c>
      <c r="C16" s="193">
        <f>+($F$17+$F$16)-(($F$16*0.15)+($F$17*0.15))-629+26+24</f>
        <v>5708.45</v>
      </c>
      <c r="D16" s="53">
        <f>+D14+1</f>
        <v>8</v>
      </c>
      <c r="E16" s="63" t="s">
        <v>18</v>
      </c>
      <c r="F16" s="96">
        <v>1917</v>
      </c>
      <c r="G16" s="198">
        <f>+C16-F16-F17</f>
        <v>-1688.5500000000002</v>
      </c>
      <c r="I16" s="33"/>
      <c r="J16" s="33"/>
    </row>
    <row r="17" spans="1:11" s="3" customFormat="1" x14ac:dyDescent="0.25">
      <c r="A17" s="195"/>
      <c r="B17" s="197"/>
      <c r="C17" s="193"/>
      <c r="D17" s="53">
        <f>+D16+1</f>
        <v>9</v>
      </c>
      <c r="E17" s="63" t="s">
        <v>19</v>
      </c>
      <c r="F17" s="96">
        <v>5480</v>
      </c>
      <c r="G17" s="198"/>
      <c r="I17" s="33"/>
      <c r="K17" s="33"/>
    </row>
    <row r="18" spans="1:11" s="3" customFormat="1" x14ac:dyDescent="0.25">
      <c r="A18" s="53"/>
      <c r="B18" s="52" t="s">
        <v>123</v>
      </c>
      <c r="C18" s="96"/>
      <c r="D18" s="53"/>
      <c r="E18" s="52"/>
      <c r="F18" s="96"/>
      <c r="G18" s="44"/>
      <c r="K18" s="33"/>
    </row>
    <row r="19" spans="1:11" s="3" customFormat="1" x14ac:dyDescent="0.25">
      <c r="A19" s="56">
        <f>+A16+1</f>
        <v>7</v>
      </c>
      <c r="B19" s="65" t="s">
        <v>132</v>
      </c>
      <c r="C19" s="96">
        <f>+$F$19-($F$19*0.15)</f>
        <v>9977.7250000000004</v>
      </c>
      <c r="D19" s="53">
        <f>+D17+1</f>
        <v>10</v>
      </c>
      <c r="E19" s="63" t="s">
        <v>39</v>
      </c>
      <c r="F19" s="96">
        <v>11738.5</v>
      </c>
      <c r="G19" s="44">
        <f t="shared" ref="G19:G32" si="3">+C19-F19</f>
        <v>-1760.7749999999996</v>
      </c>
    </row>
    <row r="20" spans="1:11" s="7" customFormat="1" x14ac:dyDescent="0.25">
      <c r="A20" s="56">
        <f>+A19+1</f>
        <v>8</v>
      </c>
      <c r="B20" s="65" t="s">
        <v>133</v>
      </c>
      <c r="C20" s="96">
        <v>0</v>
      </c>
      <c r="D20" s="53">
        <f>+D19+1</f>
        <v>11</v>
      </c>
      <c r="E20" s="63" t="s">
        <v>98</v>
      </c>
      <c r="F20" s="96">
        <v>0</v>
      </c>
      <c r="G20" s="44">
        <f t="shared" si="3"/>
        <v>0</v>
      </c>
    </row>
    <row r="21" spans="1:11" s="3" customFormat="1" x14ac:dyDescent="0.25">
      <c r="A21" s="56">
        <f t="shared" ref="A21:A27" si="4">+A20+1</f>
        <v>9</v>
      </c>
      <c r="B21" s="65" t="s">
        <v>134</v>
      </c>
      <c r="C21" s="96">
        <v>0</v>
      </c>
      <c r="D21" s="53">
        <f t="shared" ref="D21:D23" si="5">+D20+1</f>
        <v>12</v>
      </c>
      <c r="E21" s="63" t="s">
        <v>49</v>
      </c>
      <c r="F21" s="96">
        <v>0</v>
      </c>
      <c r="G21" s="44">
        <f t="shared" si="3"/>
        <v>0</v>
      </c>
    </row>
    <row r="22" spans="1:11" s="7" customFormat="1" x14ac:dyDescent="0.25">
      <c r="A22" s="56">
        <f t="shared" si="4"/>
        <v>10</v>
      </c>
      <c r="B22" s="65" t="s">
        <v>55</v>
      </c>
      <c r="C22" s="96">
        <f>+$F$22-($F$22*0.15)</f>
        <v>402.05</v>
      </c>
      <c r="D22" s="53">
        <f t="shared" si="5"/>
        <v>13</v>
      </c>
      <c r="E22" s="63" t="s">
        <v>55</v>
      </c>
      <c r="F22" s="96">
        <v>473</v>
      </c>
      <c r="G22" s="44">
        <f t="shared" si="3"/>
        <v>-70.949999999999989</v>
      </c>
    </row>
    <row r="23" spans="1:11" s="3" customFormat="1" x14ac:dyDescent="0.25">
      <c r="A23" s="56">
        <f t="shared" si="4"/>
        <v>11</v>
      </c>
      <c r="B23" s="65" t="s">
        <v>135</v>
      </c>
      <c r="C23" s="96">
        <f>+$F$23-($F$23*0.1)</f>
        <v>1206.9000000000001</v>
      </c>
      <c r="D23" s="53">
        <f t="shared" si="5"/>
        <v>14</v>
      </c>
      <c r="E23" s="63" t="s">
        <v>67</v>
      </c>
      <c r="F23" s="96">
        <v>1341</v>
      </c>
      <c r="G23" s="44">
        <f t="shared" si="3"/>
        <v>-134.09999999999991</v>
      </c>
    </row>
    <row r="24" spans="1:11" s="3" customFormat="1" x14ac:dyDescent="0.25">
      <c r="A24" s="56">
        <f t="shared" si="4"/>
        <v>12</v>
      </c>
      <c r="B24" s="71" t="s">
        <v>138</v>
      </c>
      <c r="C24" s="96"/>
      <c r="D24" s="53"/>
      <c r="E24" s="71" t="s">
        <v>136</v>
      </c>
      <c r="F24" s="96"/>
      <c r="G24" s="44">
        <f t="shared" si="3"/>
        <v>0</v>
      </c>
    </row>
    <row r="25" spans="1:11" s="3" customFormat="1" x14ac:dyDescent="0.25">
      <c r="A25" s="56">
        <f t="shared" si="4"/>
        <v>13</v>
      </c>
      <c r="B25" s="62" t="s">
        <v>137</v>
      </c>
      <c r="C25" s="96">
        <v>55</v>
      </c>
      <c r="D25" s="53">
        <f>+D23+1</f>
        <v>15</v>
      </c>
      <c r="E25" s="62" t="s">
        <v>137</v>
      </c>
      <c r="F25" s="96">
        <v>55</v>
      </c>
      <c r="G25" s="44">
        <f t="shared" si="3"/>
        <v>0</v>
      </c>
    </row>
    <row r="26" spans="1:11" s="3" customFormat="1" x14ac:dyDescent="0.25">
      <c r="A26" s="56">
        <f t="shared" si="4"/>
        <v>14</v>
      </c>
      <c r="B26" s="71" t="s">
        <v>139</v>
      </c>
      <c r="C26" s="96">
        <f>+$F$26-($F$26*0.15)</f>
        <v>2718.3</v>
      </c>
      <c r="D26" s="53">
        <f t="shared" ref="D26:D29" si="6">+D25+1</f>
        <v>16</v>
      </c>
      <c r="E26" s="71" t="s">
        <v>139</v>
      </c>
      <c r="F26" s="96">
        <v>3198</v>
      </c>
      <c r="G26" s="44">
        <f t="shared" si="3"/>
        <v>-479.69999999999982</v>
      </c>
    </row>
    <row r="27" spans="1:11" s="3" customFormat="1" x14ac:dyDescent="0.25">
      <c r="A27" s="56">
        <f t="shared" si="4"/>
        <v>15</v>
      </c>
      <c r="B27" s="71" t="s">
        <v>140</v>
      </c>
      <c r="C27" s="96">
        <v>523</v>
      </c>
      <c r="D27" s="53">
        <f t="shared" si="6"/>
        <v>17</v>
      </c>
      <c r="E27" s="71" t="s">
        <v>140</v>
      </c>
      <c r="F27" s="96">
        <v>523</v>
      </c>
      <c r="G27" s="44">
        <f t="shared" si="3"/>
        <v>0</v>
      </c>
    </row>
    <row r="28" spans="1:11" s="7" customFormat="1" ht="17.25" x14ac:dyDescent="0.25">
      <c r="A28" s="56"/>
      <c r="B28" s="37"/>
      <c r="C28" s="96"/>
      <c r="D28" s="53">
        <f t="shared" si="6"/>
        <v>18</v>
      </c>
      <c r="E28" s="70" t="s">
        <v>141</v>
      </c>
      <c r="F28" s="96">
        <v>26</v>
      </c>
      <c r="G28" s="44">
        <f t="shared" si="3"/>
        <v>-26</v>
      </c>
    </row>
    <row r="29" spans="1:11" s="3" customFormat="1" ht="17.25" x14ac:dyDescent="0.25">
      <c r="A29" s="56"/>
      <c r="B29" s="37"/>
      <c r="C29" s="96"/>
      <c r="D29" s="53">
        <f t="shared" si="6"/>
        <v>19</v>
      </c>
      <c r="E29" s="70" t="s">
        <v>142</v>
      </c>
      <c r="F29" s="96">
        <v>24</v>
      </c>
      <c r="G29" s="44">
        <f t="shared" si="3"/>
        <v>-24</v>
      </c>
    </row>
    <row r="30" spans="1:11" s="2" customFormat="1" ht="6.75" customHeight="1" x14ac:dyDescent="0.25">
      <c r="A30" s="83"/>
      <c r="B30" s="78"/>
      <c r="C30" s="97"/>
      <c r="D30" s="73"/>
      <c r="E30" s="74"/>
      <c r="F30" s="97"/>
      <c r="G30" s="79"/>
    </row>
    <row r="31" spans="1:11" s="3" customFormat="1" x14ac:dyDescent="0.25">
      <c r="A31" s="56">
        <f>+A27+1</f>
        <v>16</v>
      </c>
      <c r="B31" s="64" t="s">
        <v>144</v>
      </c>
      <c r="C31" s="96">
        <v>91</v>
      </c>
      <c r="D31" s="53">
        <f>+D29+1</f>
        <v>20</v>
      </c>
      <c r="E31" s="63" t="s">
        <v>143</v>
      </c>
      <c r="F31" s="96">
        <v>91</v>
      </c>
      <c r="G31" s="44">
        <f t="shared" si="3"/>
        <v>0</v>
      </c>
    </row>
    <row r="32" spans="1:11" s="3" customFormat="1" x14ac:dyDescent="0.25">
      <c r="A32" s="53"/>
      <c r="B32" s="52" t="s">
        <v>123</v>
      </c>
      <c r="C32" s="96"/>
      <c r="D32" s="53"/>
      <c r="E32" s="23"/>
      <c r="F32" s="96"/>
      <c r="G32" s="44">
        <f t="shared" si="3"/>
        <v>0</v>
      </c>
    </row>
    <row r="33" spans="1:8" s="3" customFormat="1" x14ac:dyDescent="0.25">
      <c r="A33" s="191">
        <f>+A31+1</f>
        <v>17</v>
      </c>
      <c r="B33" s="192" t="s">
        <v>145</v>
      </c>
      <c r="C33" s="193">
        <f>+($F$33+$F$34)-($F$34*0.15)</f>
        <v>289.60000000000002</v>
      </c>
      <c r="D33" s="53">
        <f>+D31+1</f>
        <v>21</v>
      </c>
      <c r="E33" s="23" t="s">
        <v>146</v>
      </c>
      <c r="F33" s="96">
        <v>89</v>
      </c>
      <c r="G33" s="198">
        <f>+C33-F33-F34</f>
        <v>-35.399999999999977</v>
      </c>
    </row>
    <row r="34" spans="1:8" s="3" customFormat="1" x14ac:dyDescent="0.25">
      <c r="A34" s="191"/>
      <c r="B34" s="192"/>
      <c r="C34" s="193"/>
      <c r="D34" s="53">
        <f>+D33+1</f>
        <v>22</v>
      </c>
      <c r="E34" s="63" t="s">
        <v>43</v>
      </c>
      <c r="F34" s="96">
        <v>236</v>
      </c>
      <c r="G34" s="198"/>
    </row>
    <row r="35" spans="1:8" s="2" customFormat="1" ht="6.75" customHeight="1" x14ac:dyDescent="0.25">
      <c r="A35" s="83"/>
      <c r="B35" s="78"/>
      <c r="C35" s="97"/>
      <c r="D35" s="73"/>
      <c r="E35" s="74"/>
      <c r="F35" s="97"/>
      <c r="G35" s="79"/>
    </row>
    <row r="36" spans="1:8" s="3" customFormat="1" x14ac:dyDescent="0.25">
      <c r="A36" s="191">
        <f>+A33+1</f>
        <v>18</v>
      </c>
      <c r="B36" s="197" t="s">
        <v>147</v>
      </c>
      <c r="C36" s="193">
        <f>+($F$36+$F$37)-(($F$36*0.15)+($F$37*0.15))</f>
        <v>1476.45</v>
      </c>
      <c r="D36" s="53">
        <f>+D34+1</f>
        <v>23</v>
      </c>
      <c r="E36" s="63" t="s">
        <v>25</v>
      </c>
      <c r="F36" s="96">
        <v>819</v>
      </c>
      <c r="G36" s="198">
        <f>+C36-F36-F37</f>
        <v>-260.54999999999995</v>
      </c>
    </row>
    <row r="37" spans="1:8" s="3" customFormat="1" x14ac:dyDescent="0.25">
      <c r="A37" s="195"/>
      <c r="B37" s="197"/>
      <c r="C37" s="193"/>
      <c r="D37" s="53">
        <f>+D36+1</f>
        <v>24</v>
      </c>
      <c r="E37" s="63" t="s">
        <v>32</v>
      </c>
      <c r="F37" s="96">
        <v>918</v>
      </c>
      <c r="G37" s="198"/>
    </row>
    <row r="38" spans="1:8" s="3" customFormat="1" x14ac:dyDescent="0.25">
      <c r="A38" s="53"/>
      <c r="B38" s="52" t="s">
        <v>123</v>
      </c>
      <c r="C38" s="96"/>
      <c r="D38" s="53"/>
      <c r="E38" s="52" t="s">
        <v>153</v>
      </c>
      <c r="F38" s="96"/>
      <c r="G38" s="44"/>
    </row>
    <row r="39" spans="1:8" s="7" customFormat="1" x14ac:dyDescent="0.25">
      <c r="A39" s="191">
        <f>+A36+1</f>
        <v>19</v>
      </c>
      <c r="B39" s="194" t="s">
        <v>151</v>
      </c>
      <c r="C39" s="193">
        <f>+($F$39+$F$40+$F$41)-(($F$39*0.15)+($F$40*0.15)+($F$41*0.15))</f>
        <v>166.6</v>
      </c>
      <c r="D39" s="53">
        <f>+D37+1</f>
        <v>25</v>
      </c>
      <c r="E39" s="70" t="s">
        <v>150</v>
      </c>
      <c r="F39" s="96">
        <v>34</v>
      </c>
      <c r="G39" s="198">
        <f>+C39-F39-F40-F41</f>
        <v>-29.400000000000006</v>
      </c>
    </row>
    <row r="40" spans="1:8" s="3" customFormat="1" x14ac:dyDescent="0.25">
      <c r="A40" s="191"/>
      <c r="B40" s="194"/>
      <c r="C40" s="193"/>
      <c r="D40" s="53">
        <f>+D39+1</f>
        <v>26</v>
      </c>
      <c r="E40" s="70" t="s">
        <v>148</v>
      </c>
      <c r="F40" s="96">
        <v>89</v>
      </c>
      <c r="G40" s="198"/>
    </row>
    <row r="41" spans="1:8" s="3" customFormat="1" x14ac:dyDescent="0.25">
      <c r="A41" s="191"/>
      <c r="B41" s="194"/>
      <c r="C41" s="193"/>
      <c r="D41" s="53">
        <f>+D40+1</f>
        <v>27</v>
      </c>
      <c r="E41" s="70" t="s">
        <v>149</v>
      </c>
      <c r="F41" s="96">
        <v>73</v>
      </c>
      <c r="G41" s="198"/>
    </row>
    <row r="42" spans="1:8" s="2" customFormat="1" ht="6.75" customHeight="1" x14ac:dyDescent="0.25">
      <c r="A42" s="83"/>
      <c r="B42" s="78"/>
      <c r="C42" s="97"/>
      <c r="D42" s="73"/>
      <c r="E42" s="74"/>
      <c r="F42" s="97"/>
      <c r="G42" s="79"/>
    </row>
    <row r="43" spans="1:8" s="3" customFormat="1" x14ac:dyDescent="0.25">
      <c r="A43" s="191">
        <f>+A39+1</f>
        <v>20</v>
      </c>
      <c r="B43" s="196" t="s">
        <v>152</v>
      </c>
      <c r="C43" s="193">
        <f>+($F$43+$F$44)-(($F$43*0.15)-($F$44*0.15))+629+684</f>
        <v>5344.4624999999996</v>
      </c>
      <c r="D43" s="53">
        <f>+D41+1</f>
        <v>28</v>
      </c>
      <c r="E43" s="63" t="s">
        <v>21</v>
      </c>
      <c r="F43" s="96">
        <v>3042.25</v>
      </c>
      <c r="G43" s="198">
        <f>+C43-F43-F44</f>
        <v>1045.2124999999996</v>
      </c>
    </row>
    <row r="44" spans="1:8" s="3" customFormat="1" x14ac:dyDescent="0.25">
      <c r="A44" s="195"/>
      <c r="B44" s="196"/>
      <c r="C44" s="193"/>
      <c r="D44" s="53">
        <f>+D43+1</f>
        <v>29</v>
      </c>
      <c r="E44" s="63" t="s">
        <v>38</v>
      </c>
      <c r="F44" s="96">
        <v>1257</v>
      </c>
      <c r="G44" s="198"/>
    </row>
    <row r="45" spans="1:8" s="3" customFormat="1" x14ac:dyDescent="0.25">
      <c r="A45" s="53"/>
      <c r="B45" s="52" t="s">
        <v>123</v>
      </c>
      <c r="C45" s="96"/>
      <c r="D45" s="53"/>
      <c r="E45" s="23"/>
      <c r="F45" s="96"/>
      <c r="G45" s="44"/>
      <c r="H45" s="33"/>
    </row>
    <row r="46" spans="1:8" s="3" customFormat="1" x14ac:dyDescent="0.25">
      <c r="A46" s="56">
        <f>+A43+1</f>
        <v>21</v>
      </c>
      <c r="B46" s="65" t="s">
        <v>46</v>
      </c>
      <c r="C46" s="96">
        <f>+$F$46-33</f>
        <v>9493</v>
      </c>
      <c r="D46" s="53">
        <f>+D44+1</f>
        <v>30</v>
      </c>
      <c r="E46" s="63" t="s">
        <v>46</v>
      </c>
      <c r="F46" s="96">
        <v>9526</v>
      </c>
      <c r="G46" s="44">
        <f t="shared" ref="G46:G49" si="7">+C46-F46</f>
        <v>-33</v>
      </c>
    </row>
    <row r="47" spans="1:8" s="3" customFormat="1" ht="31.5" x14ac:dyDescent="0.25">
      <c r="A47" s="56">
        <f>+A46+1</f>
        <v>22</v>
      </c>
      <c r="B47" s="65" t="s">
        <v>154</v>
      </c>
      <c r="C47" s="96">
        <f>+$F$47-41</f>
        <v>9540</v>
      </c>
      <c r="D47" s="53">
        <f t="shared" ref="D47:D52" si="8">+D46+1</f>
        <v>31</v>
      </c>
      <c r="E47" s="70" t="s">
        <v>57</v>
      </c>
      <c r="F47" s="96">
        <v>9581</v>
      </c>
      <c r="G47" s="44">
        <f t="shared" si="7"/>
        <v>-41</v>
      </c>
    </row>
    <row r="48" spans="1:8" s="3" customFormat="1" ht="31.5" x14ac:dyDescent="0.25">
      <c r="A48" s="56">
        <f>+A47+1</f>
        <v>23</v>
      </c>
      <c r="B48" s="65" t="s">
        <v>155</v>
      </c>
      <c r="C48" s="96">
        <f>+$F$48-($F$48*0.1)</f>
        <v>166.5</v>
      </c>
      <c r="D48" s="53">
        <f t="shared" si="8"/>
        <v>32</v>
      </c>
      <c r="E48" s="70" t="s">
        <v>76</v>
      </c>
      <c r="F48" s="96">
        <v>185</v>
      </c>
      <c r="G48" s="44">
        <f t="shared" si="7"/>
        <v>-18.5</v>
      </c>
    </row>
    <row r="49" spans="1:7" s="3" customFormat="1" ht="17.25" x14ac:dyDescent="0.25">
      <c r="A49" s="56"/>
      <c r="B49" s="37"/>
      <c r="C49" s="96"/>
      <c r="D49" s="53">
        <f t="shared" si="8"/>
        <v>33</v>
      </c>
      <c r="E49" s="63" t="s">
        <v>73</v>
      </c>
      <c r="F49" s="96">
        <v>805</v>
      </c>
      <c r="G49" s="44">
        <f t="shared" si="7"/>
        <v>-805</v>
      </c>
    </row>
    <row r="50" spans="1:7" s="2" customFormat="1" ht="6.75" customHeight="1" x14ac:dyDescent="0.25">
      <c r="A50" s="83"/>
      <c r="B50" s="78"/>
      <c r="C50" s="97"/>
      <c r="D50" s="73"/>
      <c r="E50" s="74"/>
      <c r="F50" s="97"/>
      <c r="G50" s="79"/>
    </row>
    <row r="51" spans="1:7" s="3" customFormat="1" x14ac:dyDescent="0.25">
      <c r="A51" s="191">
        <f>+A48+1</f>
        <v>24</v>
      </c>
      <c r="B51" s="196" t="s">
        <v>156</v>
      </c>
      <c r="C51" s="193">
        <f>+($F$51+$F$52)-(($F$51*0.15)+($F$52*0.15))+16+36</f>
        <v>480.4</v>
      </c>
      <c r="D51" s="53">
        <f>+D49+1</f>
        <v>34</v>
      </c>
      <c r="E51" s="63" t="s">
        <v>34</v>
      </c>
      <c r="F51" s="96">
        <v>166</v>
      </c>
      <c r="G51" s="198">
        <f>+C51-F51-F52</f>
        <v>-23.600000000000023</v>
      </c>
    </row>
    <row r="52" spans="1:7" s="3" customFormat="1" x14ac:dyDescent="0.25">
      <c r="A52" s="195"/>
      <c r="B52" s="196"/>
      <c r="C52" s="193"/>
      <c r="D52" s="53">
        <f t="shared" si="8"/>
        <v>35</v>
      </c>
      <c r="E52" s="63" t="s">
        <v>22</v>
      </c>
      <c r="F52" s="96">
        <v>338</v>
      </c>
      <c r="G52" s="198"/>
    </row>
    <row r="53" spans="1:7" s="3" customFormat="1" x14ac:dyDescent="0.25">
      <c r="A53" s="53"/>
      <c r="B53" s="52" t="s">
        <v>123</v>
      </c>
      <c r="C53" s="96"/>
      <c r="D53" s="53"/>
      <c r="E53" s="23"/>
      <c r="F53" s="96"/>
      <c r="G53" s="44"/>
    </row>
    <row r="54" spans="1:7" s="3" customFormat="1" x14ac:dyDescent="0.25">
      <c r="A54" s="56">
        <f>+A51+1</f>
        <v>25</v>
      </c>
      <c r="B54" s="65" t="s">
        <v>157</v>
      </c>
      <c r="C54" s="96">
        <f>+$F$54-($F$54*0.1)</f>
        <v>118.8</v>
      </c>
      <c r="D54" s="53">
        <f>+D52+1</f>
        <v>36</v>
      </c>
      <c r="E54" s="63" t="s">
        <v>9</v>
      </c>
      <c r="F54" s="96">
        <v>132</v>
      </c>
      <c r="G54" s="44">
        <f t="shared" ref="G54:G56" si="9">+C54-F54</f>
        <v>-13.200000000000003</v>
      </c>
    </row>
    <row r="55" spans="1:7" s="3" customFormat="1" x14ac:dyDescent="0.25">
      <c r="A55" s="56">
        <f>+A54+1</f>
        <v>26</v>
      </c>
      <c r="B55" s="65" t="s">
        <v>158</v>
      </c>
      <c r="C55" s="96">
        <f>+$F$55-($F$55*0.1)</f>
        <v>142.19999999999999</v>
      </c>
      <c r="D55" s="53">
        <f>+D54+1</f>
        <v>37</v>
      </c>
      <c r="E55" s="63" t="s">
        <v>90</v>
      </c>
      <c r="F55" s="96">
        <v>158</v>
      </c>
      <c r="G55" s="44">
        <f t="shared" si="9"/>
        <v>-15.800000000000011</v>
      </c>
    </row>
    <row r="56" spans="1:7" s="3" customFormat="1" ht="17.25" x14ac:dyDescent="0.25">
      <c r="A56" s="56"/>
      <c r="B56" s="37"/>
      <c r="C56" s="96">
        <v>0</v>
      </c>
      <c r="D56" s="53">
        <f>+D55+1</f>
        <v>38</v>
      </c>
      <c r="E56" s="63" t="s">
        <v>94</v>
      </c>
      <c r="F56" s="96">
        <v>16</v>
      </c>
      <c r="G56" s="44">
        <f t="shared" si="9"/>
        <v>-16</v>
      </c>
    </row>
    <row r="57" spans="1:7" s="2" customFormat="1" ht="6.75" customHeight="1" x14ac:dyDescent="0.25">
      <c r="A57" s="83"/>
      <c r="B57" s="78"/>
      <c r="C57" s="97"/>
      <c r="D57" s="73"/>
      <c r="E57" s="74"/>
      <c r="F57" s="97"/>
      <c r="G57" s="79"/>
    </row>
    <row r="58" spans="1:7" s="61" customFormat="1" x14ac:dyDescent="0.25">
      <c r="A58" s="56">
        <f>+A55+1</f>
        <v>27</v>
      </c>
      <c r="B58" s="54" t="s">
        <v>23</v>
      </c>
      <c r="C58" s="96">
        <f>+$F$58-($F$58*0.15)+36</f>
        <v>4164.875</v>
      </c>
      <c r="D58" s="53">
        <f>+D56+1</f>
        <v>39</v>
      </c>
      <c r="E58" s="54" t="s">
        <v>23</v>
      </c>
      <c r="F58" s="96">
        <v>4857.5</v>
      </c>
      <c r="G58" s="44">
        <f t="shared" ref="G58" si="10">+C58-F58</f>
        <v>-692.625</v>
      </c>
    </row>
    <row r="59" spans="1:7" s="3" customFormat="1" x14ac:dyDescent="0.25">
      <c r="A59" s="53"/>
      <c r="B59" s="52" t="s">
        <v>123</v>
      </c>
      <c r="C59" s="96"/>
      <c r="D59" s="53"/>
      <c r="E59" s="23"/>
      <c r="F59" s="96"/>
      <c r="G59" s="44"/>
    </row>
    <row r="60" spans="1:7" s="3" customFormat="1" x14ac:dyDescent="0.25">
      <c r="A60" s="56">
        <f>+A58+1</f>
        <v>28</v>
      </c>
      <c r="B60" s="65" t="s">
        <v>159</v>
      </c>
      <c r="C60" s="96">
        <f>+$F$60</f>
        <v>2446.5</v>
      </c>
      <c r="D60" s="53">
        <f>+D58+1</f>
        <v>40</v>
      </c>
      <c r="E60" s="63" t="s">
        <v>33</v>
      </c>
      <c r="F60" s="96">
        <v>2446.5</v>
      </c>
      <c r="G60" s="44">
        <f t="shared" ref="G60" si="11">+C60-F60</f>
        <v>0</v>
      </c>
    </row>
    <row r="61" spans="1:7" s="2" customFormat="1" ht="6.75" customHeight="1" x14ac:dyDescent="0.25">
      <c r="A61" s="83"/>
      <c r="B61" s="78"/>
      <c r="C61" s="97"/>
      <c r="D61" s="73"/>
      <c r="E61" s="74"/>
      <c r="F61" s="97"/>
      <c r="G61" s="79"/>
    </row>
    <row r="62" spans="1:7" s="3" customFormat="1" x14ac:dyDescent="0.25">
      <c r="A62" s="56">
        <f>+A60+1</f>
        <v>29</v>
      </c>
      <c r="B62" s="64" t="s">
        <v>160</v>
      </c>
      <c r="C62" s="96">
        <f>+$F$62-($F$62*0.15)+15</f>
        <v>1450.65</v>
      </c>
      <c r="D62" s="53">
        <f>+D60+1</f>
        <v>41</v>
      </c>
      <c r="E62" s="63" t="s">
        <v>41</v>
      </c>
      <c r="F62" s="96">
        <v>1689</v>
      </c>
      <c r="G62" s="44">
        <f t="shared" ref="G62" si="12">+C62-F62</f>
        <v>-238.34999999999991</v>
      </c>
    </row>
    <row r="63" spans="1:7" s="3" customFormat="1" x14ac:dyDescent="0.25">
      <c r="A63" s="56"/>
      <c r="B63" s="52" t="s">
        <v>123</v>
      </c>
      <c r="C63" s="96"/>
      <c r="D63" s="53"/>
      <c r="E63" s="23"/>
      <c r="F63" s="96"/>
      <c r="G63" s="44"/>
    </row>
    <row r="64" spans="1:7" s="3" customFormat="1" x14ac:dyDescent="0.25">
      <c r="A64" s="56">
        <f>+A62+1</f>
        <v>30</v>
      </c>
      <c r="B64" s="65" t="s">
        <v>161</v>
      </c>
      <c r="C64" s="96">
        <f>+$F$64</f>
        <v>154</v>
      </c>
      <c r="D64" s="53">
        <f>+D62+1</f>
        <v>42</v>
      </c>
      <c r="E64" s="63" t="s">
        <v>44</v>
      </c>
      <c r="F64" s="96">
        <v>154</v>
      </c>
      <c r="G64" s="44">
        <f t="shared" ref="G64:G65" si="13">+C64-F64</f>
        <v>0</v>
      </c>
    </row>
    <row r="65" spans="1:8" s="3" customFormat="1" x14ac:dyDescent="0.25">
      <c r="A65" s="56">
        <f>+A64+1</f>
        <v>31</v>
      </c>
      <c r="B65" s="65" t="s">
        <v>162</v>
      </c>
      <c r="C65" s="96">
        <f>+$F$65-($F$65*0.15)</f>
        <v>1516.4</v>
      </c>
      <c r="D65" s="53">
        <f>+D64+1</f>
        <v>43</v>
      </c>
      <c r="E65" s="63" t="s">
        <v>89</v>
      </c>
      <c r="F65" s="96">
        <v>1784</v>
      </c>
      <c r="G65" s="44">
        <f t="shared" si="13"/>
        <v>-267.59999999999991</v>
      </c>
    </row>
    <row r="66" spans="1:8" s="2" customFormat="1" ht="6.75" customHeight="1" x14ac:dyDescent="0.25">
      <c r="A66" s="83"/>
      <c r="B66" s="78"/>
      <c r="C66" s="97"/>
      <c r="D66" s="73"/>
      <c r="E66" s="74"/>
      <c r="F66" s="97"/>
      <c r="G66" s="79"/>
    </row>
    <row r="67" spans="1:8" s="61" customFormat="1" x14ac:dyDescent="0.25">
      <c r="A67" s="56">
        <f>+A65+1</f>
        <v>32</v>
      </c>
      <c r="B67" s="54" t="s">
        <v>180</v>
      </c>
      <c r="C67" s="96">
        <v>570</v>
      </c>
      <c r="D67" s="53">
        <f>+D65+1</f>
        <v>44</v>
      </c>
      <c r="E67" s="54" t="s">
        <v>31</v>
      </c>
      <c r="F67" s="96">
        <v>670</v>
      </c>
      <c r="G67" s="44">
        <f t="shared" ref="G67" si="14">+C67-F67</f>
        <v>-100</v>
      </c>
    </row>
    <row r="68" spans="1:8" s="3" customFormat="1" x14ac:dyDescent="0.25">
      <c r="A68" s="56"/>
      <c r="B68" s="52" t="s">
        <v>123</v>
      </c>
      <c r="C68" s="96"/>
      <c r="D68" s="53"/>
      <c r="E68" s="23"/>
      <c r="F68" s="96"/>
      <c r="G68" s="44"/>
    </row>
    <row r="69" spans="1:8" s="3" customFormat="1" x14ac:dyDescent="0.25">
      <c r="A69" s="56">
        <f>+A67+1</f>
        <v>33</v>
      </c>
      <c r="B69" s="65" t="s">
        <v>71</v>
      </c>
      <c r="C69" s="96">
        <f>+$F$69-203</f>
        <v>10456</v>
      </c>
      <c r="D69" s="53">
        <f>+D67+1</f>
        <v>45</v>
      </c>
      <c r="E69" s="63" t="s">
        <v>71</v>
      </c>
      <c r="F69" s="96">
        <v>10659</v>
      </c>
      <c r="G69" s="44">
        <f t="shared" ref="G69" si="15">+C69-F69</f>
        <v>-203</v>
      </c>
    </row>
    <row r="70" spans="1:8" s="2" customFormat="1" ht="6.75" customHeight="1" x14ac:dyDescent="0.25">
      <c r="A70" s="83"/>
      <c r="B70" s="78"/>
      <c r="C70" s="97"/>
      <c r="D70" s="73"/>
      <c r="E70" s="74"/>
      <c r="F70" s="97"/>
      <c r="G70" s="79"/>
    </row>
    <row r="71" spans="1:8" s="61" customFormat="1" x14ac:dyDescent="0.25">
      <c r="A71" s="56">
        <f>+A69+1</f>
        <v>34</v>
      </c>
      <c r="B71" s="54" t="s">
        <v>35</v>
      </c>
      <c r="C71" s="96">
        <f>+$F$71-($F$71*0.15)+573+15</f>
        <v>3197.5</v>
      </c>
      <c r="D71" s="53">
        <f>+D69+1</f>
        <v>46</v>
      </c>
      <c r="E71" s="54" t="s">
        <v>35</v>
      </c>
      <c r="F71" s="96">
        <v>3070</v>
      </c>
      <c r="G71" s="44">
        <f t="shared" ref="G71" si="16">+C71-F71</f>
        <v>127.5</v>
      </c>
    </row>
    <row r="72" spans="1:8" s="3" customFormat="1" x14ac:dyDescent="0.25">
      <c r="A72" s="53"/>
      <c r="B72" s="52" t="s">
        <v>123</v>
      </c>
      <c r="C72" s="96"/>
      <c r="D72" s="53"/>
      <c r="E72" s="23"/>
      <c r="F72" s="96"/>
      <c r="G72" s="44"/>
    </row>
    <row r="73" spans="1:8" s="3" customFormat="1" ht="17.25" x14ac:dyDescent="0.3">
      <c r="A73" s="199">
        <f>+A71+1</f>
        <v>35</v>
      </c>
      <c r="B73" s="192" t="s">
        <v>163</v>
      </c>
      <c r="C73" s="193">
        <f>+($F$73+$F$74)-(($F$73*0.15)+($F$74*0.15))+573</f>
        <v>4350.3999999999996</v>
      </c>
      <c r="D73" s="53">
        <f>+D71+1</f>
        <v>47</v>
      </c>
      <c r="E73" s="63" t="s">
        <v>45</v>
      </c>
      <c r="F73" s="96">
        <v>1626</v>
      </c>
      <c r="G73" s="198">
        <f>+C73-F73-F74</f>
        <v>-93.600000000000364</v>
      </c>
      <c r="H73" s="8" t="s">
        <v>7</v>
      </c>
    </row>
    <row r="74" spans="1:8" s="3" customFormat="1" x14ac:dyDescent="0.25">
      <c r="A74" s="199"/>
      <c r="B74" s="192"/>
      <c r="C74" s="193"/>
      <c r="D74" s="53">
        <f t="shared" ref="D74:D79" si="17">+D73+1</f>
        <v>48</v>
      </c>
      <c r="E74" s="63" t="s">
        <v>64</v>
      </c>
      <c r="F74" s="96">
        <v>2818</v>
      </c>
      <c r="G74" s="198"/>
    </row>
    <row r="75" spans="1:8" s="3" customFormat="1" ht="31.5" x14ac:dyDescent="0.25">
      <c r="A75" s="56"/>
      <c r="B75" s="37"/>
      <c r="C75" s="96">
        <v>0</v>
      </c>
      <c r="D75" s="53">
        <f t="shared" si="17"/>
        <v>49</v>
      </c>
      <c r="E75" s="63" t="s">
        <v>77</v>
      </c>
      <c r="F75" s="96">
        <v>1593</v>
      </c>
      <c r="G75" s="44">
        <f t="shared" ref="G75" si="18">+C75-F75</f>
        <v>-1593</v>
      </c>
    </row>
    <row r="76" spans="1:8" s="3" customFormat="1" x14ac:dyDescent="0.25">
      <c r="A76" s="191">
        <f>+A73+1</f>
        <v>36</v>
      </c>
      <c r="B76" s="192" t="s">
        <v>165</v>
      </c>
      <c r="C76" s="193">
        <f>+($F$76+$F$77)-(($F$76*0.15)+($F$77*0.15))+28</f>
        <v>562.65</v>
      </c>
      <c r="D76" s="53">
        <f t="shared" si="17"/>
        <v>50</v>
      </c>
      <c r="E76" s="70" t="s">
        <v>164</v>
      </c>
      <c r="F76" s="96">
        <v>413</v>
      </c>
      <c r="G76" s="198">
        <f>+C76-F76-F77</f>
        <v>-66.350000000000023</v>
      </c>
    </row>
    <row r="77" spans="1:8" s="3" customFormat="1" x14ac:dyDescent="0.25">
      <c r="A77" s="191"/>
      <c r="B77" s="192"/>
      <c r="C77" s="193"/>
      <c r="D77" s="53">
        <f t="shared" si="17"/>
        <v>51</v>
      </c>
      <c r="E77" s="70" t="s">
        <v>166</v>
      </c>
      <c r="F77" s="96">
        <v>216</v>
      </c>
      <c r="G77" s="198"/>
    </row>
    <row r="78" spans="1:8" s="3" customFormat="1" ht="17.25" x14ac:dyDescent="0.25">
      <c r="A78" s="56"/>
      <c r="B78" s="37"/>
      <c r="C78" s="96">
        <v>0</v>
      </c>
      <c r="D78" s="53">
        <f t="shared" si="17"/>
        <v>52</v>
      </c>
      <c r="E78" s="63" t="s">
        <v>51</v>
      </c>
      <c r="F78" s="96">
        <v>31</v>
      </c>
      <c r="G78" s="44">
        <f t="shared" ref="G78:G79" si="19">+C78-F78</f>
        <v>-31</v>
      </c>
    </row>
    <row r="79" spans="1:8" s="3" customFormat="1" ht="31.5" x14ac:dyDescent="0.25">
      <c r="A79" s="56"/>
      <c r="B79" s="37"/>
      <c r="C79" s="96">
        <v>0</v>
      </c>
      <c r="D79" s="53">
        <f t="shared" si="17"/>
        <v>53</v>
      </c>
      <c r="E79" s="63" t="s">
        <v>56</v>
      </c>
      <c r="F79" s="96">
        <v>57</v>
      </c>
      <c r="G79" s="44">
        <f t="shared" si="19"/>
        <v>-57</v>
      </c>
    </row>
    <row r="80" spans="1:8" s="2" customFormat="1" ht="6.75" customHeight="1" x14ac:dyDescent="0.25">
      <c r="A80" s="83"/>
      <c r="B80" s="78"/>
      <c r="C80" s="97"/>
      <c r="D80" s="73"/>
      <c r="E80" s="74"/>
      <c r="F80" s="97"/>
      <c r="G80" s="79"/>
    </row>
    <row r="81" spans="1:7" s="3" customFormat="1" ht="31.5" x14ac:dyDescent="0.25">
      <c r="A81" s="56">
        <f>+A76+1</f>
        <v>37</v>
      </c>
      <c r="B81" s="64" t="s">
        <v>175</v>
      </c>
      <c r="C81" s="96">
        <f>+$F$81-($F$81*0.15)</f>
        <v>198.9</v>
      </c>
      <c r="D81" s="53">
        <f>+D79+1</f>
        <v>54</v>
      </c>
      <c r="E81" s="23" t="s">
        <v>176</v>
      </c>
      <c r="F81" s="96">
        <v>234</v>
      </c>
      <c r="G81" s="44">
        <f t="shared" ref="G81" si="20">+C81-F81</f>
        <v>-35.099999999999994</v>
      </c>
    </row>
    <row r="82" spans="1:7" s="3" customFormat="1" x14ac:dyDescent="0.25">
      <c r="A82" s="53"/>
      <c r="B82" s="52" t="s">
        <v>123</v>
      </c>
      <c r="C82" s="96"/>
      <c r="D82" s="53"/>
      <c r="E82" s="23"/>
      <c r="F82" s="96"/>
      <c r="G82" s="44"/>
    </row>
    <row r="83" spans="1:7" s="3" customFormat="1" ht="31.5" x14ac:dyDescent="0.25">
      <c r="A83" s="56">
        <f>+A81+1</f>
        <v>38</v>
      </c>
      <c r="B83" s="65" t="s">
        <v>167</v>
      </c>
      <c r="C83" s="96">
        <v>31</v>
      </c>
      <c r="D83" s="53">
        <f>+D81+1</f>
        <v>55</v>
      </c>
      <c r="E83" s="23" t="s">
        <v>168</v>
      </c>
      <c r="F83" s="96">
        <v>31</v>
      </c>
      <c r="G83" s="44">
        <f t="shared" ref="G83:G84" si="21">+C83-F83</f>
        <v>0</v>
      </c>
    </row>
    <row r="84" spans="1:7" s="3" customFormat="1" ht="31.5" x14ac:dyDescent="0.25">
      <c r="A84" s="56">
        <f>+A83+1</f>
        <v>39</v>
      </c>
      <c r="B84" s="65" t="s">
        <v>169</v>
      </c>
      <c r="C84" s="96">
        <f>+$F$84-($F$84*0.1)</f>
        <v>174.6</v>
      </c>
      <c r="D84" s="53">
        <f>+D83+1</f>
        <v>56</v>
      </c>
      <c r="E84" s="63" t="s">
        <v>85</v>
      </c>
      <c r="F84" s="96">
        <v>194</v>
      </c>
      <c r="G84" s="44">
        <f t="shared" si="21"/>
        <v>-19.400000000000006</v>
      </c>
    </row>
    <row r="85" spans="1:7" s="2" customFormat="1" ht="6.75" customHeight="1" x14ac:dyDescent="0.25">
      <c r="A85" s="83"/>
      <c r="B85" s="78"/>
      <c r="C85" s="97"/>
      <c r="D85" s="73"/>
      <c r="E85" s="74"/>
      <c r="F85" s="97"/>
      <c r="G85" s="79"/>
    </row>
    <row r="86" spans="1:7" s="61" customFormat="1" x14ac:dyDescent="0.25">
      <c r="A86" s="56">
        <f>+A84+1</f>
        <v>40</v>
      </c>
      <c r="B86" s="54" t="s">
        <v>28</v>
      </c>
      <c r="C86" s="96">
        <f>+$F$86-($F$86*0.15)</f>
        <v>4226.2</v>
      </c>
      <c r="D86" s="53">
        <f>+D84+1</f>
        <v>57</v>
      </c>
      <c r="E86" s="54" t="s">
        <v>28</v>
      </c>
      <c r="F86" s="96">
        <v>4972</v>
      </c>
      <c r="G86" s="44">
        <f t="shared" ref="G86:G88" si="22">+C86-F86</f>
        <v>-745.80000000000018</v>
      </c>
    </row>
    <row r="87" spans="1:7" s="3" customFormat="1" x14ac:dyDescent="0.25">
      <c r="A87" s="56">
        <f>+A86+1</f>
        <v>41</v>
      </c>
      <c r="B87" s="65" t="s">
        <v>69</v>
      </c>
      <c r="C87" s="96">
        <v>70</v>
      </c>
      <c r="D87" s="53">
        <f>+D86+1</f>
        <v>58</v>
      </c>
      <c r="E87" s="63" t="s">
        <v>69</v>
      </c>
      <c r="F87" s="96">
        <v>70</v>
      </c>
      <c r="G87" s="44">
        <f t="shared" si="22"/>
        <v>0</v>
      </c>
    </row>
    <row r="88" spans="1:7" s="3" customFormat="1" x14ac:dyDescent="0.25">
      <c r="A88" s="56">
        <f>+A87+1</f>
        <v>42</v>
      </c>
      <c r="B88" s="65" t="s">
        <v>170</v>
      </c>
      <c r="C88" s="96">
        <v>55</v>
      </c>
      <c r="D88" s="53">
        <f>+D87+1</f>
        <v>59</v>
      </c>
      <c r="E88" s="63" t="s">
        <v>91</v>
      </c>
      <c r="F88" s="96">
        <v>55</v>
      </c>
      <c r="G88" s="44">
        <f t="shared" si="22"/>
        <v>0</v>
      </c>
    </row>
    <row r="89" spans="1:7" s="2" customFormat="1" ht="6.75" customHeight="1" x14ac:dyDescent="0.25">
      <c r="A89" s="83"/>
      <c r="B89" s="78"/>
      <c r="C89" s="97"/>
      <c r="D89" s="73"/>
      <c r="E89" s="74"/>
      <c r="F89" s="97"/>
      <c r="G89" s="79"/>
    </row>
    <row r="90" spans="1:7" s="61" customFormat="1" x14ac:dyDescent="0.25">
      <c r="A90" s="56">
        <f>+A88+1</f>
        <v>43</v>
      </c>
      <c r="B90" s="54" t="s">
        <v>20</v>
      </c>
      <c r="C90" s="96">
        <f>+$F$90</f>
        <v>911</v>
      </c>
      <c r="D90" s="53">
        <f>+D88+1</f>
        <v>60</v>
      </c>
      <c r="E90" s="54" t="s">
        <v>20</v>
      </c>
      <c r="F90" s="96">
        <v>911</v>
      </c>
      <c r="G90" s="44">
        <f t="shared" ref="G90" si="23">+C90-F90</f>
        <v>0</v>
      </c>
    </row>
    <row r="91" spans="1:7" s="3" customFormat="1" x14ac:dyDescent="0.25">
      <c r="A91" s="53"/>
      <c r="B91" s="52" t="s">
        <v>123</v>
      </c>
      <c r="C91" s="96"/>
      <c r="D91" s="53"/>
      <c r="E91" s="52" t="s">
        <v>123</v>
      </c>
      <c r="F91" s="96"/>
      <c r="G91" s="44"/>
    </row>
    <row r="92" spans="1:7" s="3" customFormat="1" x14ac:dyDescent="0.25">
      <c r="A92" s="56">
        <f>+A90+1</f>
        <v>44</v>
      </c>
      <c r="B92" s="62" t="s">
        <v>171</v>
      </c>
      <c r="C92" s="96">
        <f>+$F$92-($F$92*0.1)</f>
        <v>421.2</v>
      </c>
      <c r="D92" s="53">
        <f>+D90+1</f>
        <v>61</v>
      </c>
      <c r="E92" s="62" t="s">
        <v>171</v>
      </c>
      <c r="F92" s="96">
        <v>468</v>
      </c>
      <c r="G92" s="44">
        <f t="shared" ref="G92:G95" si="24">+C92-F92</f>
        <v>-46.800000000000011</v>
      </c>
    </row>
    <row r="93" spans="1:7" s="3" customFormat="1" x14ac:dyDescent="0.25">
      <c r="A93" s="56">
        <f>+A92+1</f>
        <v>45</v>
      </c>
      <c r="B93" s="62" t="s">
        <v>172</v>
      </c>
      <c r="C93" s="96">
        <v>51</v>
      </c>
      <c r="D93" s="53">
        <f>+D92+1</f>
        <v>62</v>
      </c>
      <c r="E93" s="62" t="s">
        <v>172</v>
      </c>
      <c r="F93" s="96">
        <v>51</v>
      </c>
      <c r="G93" s="44">
        <f t="shared" si="24"/>
        <v>0</v>
      </c>
    </row>
    <row r="94" spans="1:7" s="3" customFormat="1" ht="31.5" x14ac:dyDescent="0.25">
      <c r="A94" s="56">
        <f t="shared" ref="A94:A95" si="25">+A93+1</f>
        <v>46</v>
      </c>
      <c r="B94" s="62" t="s">
        <v>173</v>
      </c>
      <c r="C94" s="96">
        <v>20</v>
      </c>
      <c r="D94" s="53">
        <f t="shared" ref="D94:D95" si="26">+D93+1</f>
        <v>63</v>
      </c>
      <c r="E94" s="62" t="s">
        <v>173</v>
      </c>
      <c r="F94" s="96">
        <v>20</v>
      </c>
      <c r="G94" s="44">
        <f t="shared" si="24"/>
        <v>0</v>
      </c>
    </row>
    <row r="95" spans="1:7" s="3" customFormat="1" x14ac:dyDescent="0.25">
      <c r="A95" s="56">
        <f t="shared" si="25"/>
        <v>47</v>
      </c>
      <c r="B95" s="62" t="s">
        <v>174</v>
      </c>
      <c r="C95" s="96">
        <v>63</v>
      </c>
      <c r="D95" s="53">
        <f t="shared" si="26"/>
        <v>64</v>
      </c>
      <c r="E95" s="62" t="s">
        <v>174</v>
      </c>
      <c r="F95" s="96">
        <v>63</v>
      </c>
      <c r="G95" s="44">
        <f t="shared" si="24"/>
        <v>0</v>
      </c>
    </row>
    <row r="96" spans="1:7" s="2" customFormat="1" ht="6.75" customHeight="1" x14ac:dyDescent="0.25">
      <c r="A96" s="83"/>
      <c r="B96" s="78"/>
      <c r="C96" s="97"/>
      <c r="D96" s="73"/>
      <c r="E96" s="74"/>
      <c r="F96" s="97"/>
      <c r="G96" s="79"/>
    </row>
    <row r="97" spans="1:7" s="61" customFormat="1" x14ac:dyDescent="0.25">
      <c r="A97" s="56">
        <f>+A95+1</f>
        <v>48</v>
      </c>
      <c r="B97" s="54" t="s">
        <v>29</v>
      </c>
      <c r="C97" s="96">
        <f>+$F$97-($F$97*0.15)+200</f>
        <v>959.9</v>
      </c>
      <c r="D97" s="53">
        <f>+D95+1</f>
        <v>65</v>
      </c>
      <c r="E97" s="54" t="s">
        <v>29</v>
      </c>
      <c r="F97" s="96">
        <v>894</v>
      </c>
      <c r="G97" s="44">
        <f t="shared" ref="G97" si="27">+C97-F97</f>
        <v>65.899999999999977</v>
      </c>
    </row>
    <row r="98" spans="1:7" s="3" customFormat="1" x14ac:dyDescent="0.25">
      <c r="A98" s="53"/>
      <c r="B98" s="52" t="s">
        <v>123</v>
      </c>
      <c r="C98" s="96"/>
      <c r="D98" s="53"/>
      <c r="E98" s="23"/>
      <c r="F98" s="96"/>
      <c r="G98" s="44"/>
    </row>
    <row r="99" spans="1:7" s="3" customFormat="1" x14ac:dyDescent="0.25">
      <c r="A99" s="56">
        <f>+A97+1</f>
        <v>49</v>
      </c>
      <c r="B99" s="65" t="s">
        <v>74</v>
      </c>
      <c r="C99" s="96">
        <v>90</v>
      </c>
      <c r="D99" s="53">
        <f>+D97+1</f>
        <v>66</v>
      </c>
      <c r="E99" s="63" t="s">
        <v>74</v>
      </c>
      <c r="F99" s="96">
        <v>90</v>
      </c>
      <c r="G99" s="44">
        <f t="shared" ref="G99:G101" si="28">+C99-F99</f>
        <v>0</v>
      </c>
    </row>
    <row r="100" spans="1:7" s="3" customFormat="1" ht="31.5" x14ac:dyDescent="0.25">
      <c r="A100" s="56">
        <f>+A99+1</f>
        <v>50</v>
      </c>
      <c r="B100" s="65" t="s">
        <v>177</v>
      </c>
      <c r="C100" s="96">
        <v>23</v>
      </c>
      <c r="D100" s="53">
        <f>+D99+1</f>
        <v>67</v>
      </c>
      <c r="E100" s="63" t="s">
        <v>50</v>
      </c>
      <c r="F100" s="96">
        <v>23</v>
      </c>
      <c r="G100" s="44">
        <f t="shared" si="28"/>
        <v>0</v>
      </c>
    </row>
    <row r="101" spans="1:7" s="7" customFormat="1" x14ac:dyDescent="0.25">
      <c r="A101" s="56">
        <f>+A100+1</f>
        <v>51</v>
      </c>
      <c r="B101" s="65" t="s">
        <v>178</v>
      </c>
      <c r="C101" s="96">
        <f>+$F$101-($F$101*0.1)</f>
        <v>189</v>
      </c>
      <c r="D101" s="53">
        <f>+D100+1</f>
        <v>68</v>
      </c>
      <c r="E101" s="63" t="s">
        <v>75</v>
      </c>
      <c r="F101" s="96">
        <v>210</v>
      </c>
      <c r="G101" s="44">
        <f t="shared" si="28"/>
        <v>-21</v>
      </c>
    </row>
    <row r="102" spans="1:7" s="2" customFormat="1" ht="6.75" customHeight="1" x14ac:dyDescent="0.25">
      <c r="A102" s="83"/>
      <c r="B102" s="78"/>
      <c r="C102" s="97"/>
      <c r="D102" s="73"/>
      <c r="E102" s="74"/>
      <c r="F102" s="97"/>
      <c r="G102" s="79"/>
    </row>
    <row r="103" spans="1:7" s="86" customFormat="1" x14ac:dyDescent="0.25">
      <c r="A103" s="56">
        <f>+A101+1</f>
        <v>52</v>
      </c>
      <c r="B103" s="54" t="s">
        <v>101</v>
      </c>
      <c r="C103" s="96">
        <v>0</v>
      </c>
      <c r="D103" s="53">
        <f>+D101+1</f>
        <v>69</v>
      </c>
      <c r="E103" s="54" t="s">
        <v>101</v>
      </c>
      <c r="F103" s="96">
        <v>0</v>
      </c>
      <c r="G103" s="44">
        <f t="shared" ref="G103" si="29">+C103-F103</f>
        <v>0</v>
      </c>
    </row>
    <row r="104" spans="1:7" s="7" customFormat="1" x14ac:dyDescent="0.25">
      <c r="A104" s="56"/>
      <c r="B104" s="52" t="s">
        <v>123</v>
      </c>
      <c r="C104" s="96"/>
      <c r="D104" s="53"/>
      <c r="E104" s="23"/>
      <c r="F104" s="96"/>
      <c r="G104" s="98"/>
    </row>
    <row r="105" spans="1:7" s="7" customFormat="1" x14ac:dyDescent="0.25">
      <c r="A105" s="95">
        <f>+A103+1</f>
        <v>53</v>
      </c>
      <c r="B105" s="65" t="s">
        <v>99</v>
      </c>
      <c r="C105" s="96">
        <v>0</v>
      </c>
      <c r="D105" s="53">
        <f>+D103+1</f>
        <v>70</v>
      </c>
      <c r="E105" s="63" t="s">
        <v>99</v>
      </c>
      <c r="F105" s="96">
        <v>0</v>
      </c>
      <c r="G105" s="44">
        <f t="shared" ref="G105" si="30">+C105-F105</f>
        <v>0</v>
      </c>
    </row>
    <row r="106" spans="1:7" s="2" customFormat="1" ht="6.75" customHeight="1" x14ac:dyDescent="0.25">
      <c r="A106" s="83"/>
      <c r="B106" s="78"/>
      <c r="C106" s="97"/>
      <c r="D106" s="73"/>
      <c r="E106" s="74"/>
      <c r="F106" s="97"/>
      <c r="G106" s="79"/>
    </row>
    <row r="107" spans="1:7" s="61" customFormat="1" x14ac:dyDescent="0.25">
      <c r="A107" s="56">
        <f>+A105+1</f>
        <v>54</v>
      </c>
      <c r="B107" s="54" t="s">
        <v>36</v>
      </c>
      <c r="C107" s="96">
        <f>+$F$107-($F$107*0.1)+20</f>
        <v>7029.2</v>
      </c>
      <c r="D107" s="53">
        <f>+D105+1</f>
        <v>71</v>
      </c>
      <c r="E107" s="54" t="s">
        <v>36</v>
      </c>
      <c r="F107" s="96">
        <v>7788</v>
      </c>
      <c r="G107" s="44">
        <f t="shared" ref="G107" si="31">+C107-F107</f>
        <v>-758.80000000000018</v>
      </c>
    </row>
    <row r="108" spans="1:7" s="3" customFormat="1" x14ac:dyDescent="0.25">
      <c r="A108" s="53"/>
      <c r="B108" s="52"/>
      <c r="C108" s="96"/>
      <c r="D108" s="53"/>
      <c r="E108" s="52" t="s">
        <v>123</v>
      </c>
      <c r="F108" s="96"/>
      <c r="G108" s="44"/>
    </row>
    <row r="109" spans="1:7" s="7" customFormat="1" ht="17.25" x14ac:dyDescent="0.25">
      <c r="A109" s="56"/>
      <c r="B109" s="37"/>
      <c r="C109" s="96">
        <v>0</v>
      </c>
      <c r="D109" s="53">
        <f>+D107+1</f>
        <v>72</v>
      </c>
      <c r="E109" s="87" t="s">
        <v>179</v>
      </c>
      <c r="F109" s="96">
        <v>20</v>
      </c>
      <c r="G109" s="44">
        <f t="shared" ref="G109" si="32">+C109-F109</f>
        <v>-20</v>
      </c>
    </row>
    <row r="110" spans="1:7" s="2" customFormat="1" ht="6.75" customHeight="1" x14ac:dyDescent="0.25">
      <c r="A110" s="83"/>
      <c r="B110" s="78"/>
      <c r="C110" s="97"/>
      <c r="D110" s="73"/>
      <c r="E110" s="74"/>
      <c r="F110" s="97"/>
      <c r="G110" s="79"/>
    </row>
    <row r="111" spans="1:7" s="61" customFormat="1" x14ac:dyDescent="0.25">
      <c r="A111" s="56">
        <f>+A107+1</f>
        <v>55</v>
      </c>
      <c r="B111" s="54" t="s">
        <v>37</v>
      </c>
      <c r="C111" s="96">
        <f>+$F$111</f>
        <v>115</v>
      </c>
      <c r="D111" s="53">
        <f>+D109+1</f>
        <v>73</v>
      </c>
      <c r="E111" s="54" t="s">
        <v>37</v>
      </c>
      <c r="F111" s="96">
        <v>115</v>
      </c>
      <c r="G111" s="44">
        <f t="shared" ref="G111" si="33">+C111-F111</f>
        <v>0</v>
      </c>
    </row>
    <row r="112" spans="1:7" s="61" customFormat="1" x14ac:dyDescent="0.25">
      <c r="A112" s="53"/>
      <c r="B112" s="52" t="s">
        <v>123</v>
      </c>
      <c r="C112" s="96"/>
      <c r="D112" s="53"/>
      <c r="E112" s="52" t="s">
        <v>123</v>
      </c>
      <c r="F112" s="96"/>
      <c r="G112" s="44"/>
    </row>
    <row r="113" spans="1:7" s="3" customFormat="1" ht="17.25" customHeight="1" x14ac:dyDescent="0.25">
      <c r="A113" s="191">
        <f>+A111+1</f>
        <v>56</v>
      </c>
      <c r="B113" s="192" t="s">
        <v>183</v>
      </c>
      <c r="C113" s="193">
        <f>+($F$113+$F$114)-(($F$113*0.15)+($F$114*0.15))</f>
        <v>196.35</v>
      </c>
      <c r="D113" s="53">
        <f>+D111+1</f>
        <v>74</v>
      </c>
      <c r="E113" s="70" t="s">
        <v>181</v>
      </c>
      <c r="F113" s="96">
        <v>198</v>
      </c>
      <c r="G113" s="198">
        <f t="shared" ref="G113:G115" si="34">+C113-F113</f>
        <v>-1.6500000000000057</v>
      </c>
    </row>
    <row r="114" spans="1:7" s="3" customFormat="1" x14ac:dyDescent="0.25">
      <c r="A114" s="191"/>
      <c r="B114" s="192"/>
      <c r="C114" s="193"/>
      <c r="D114" s="53">
        <f>+D113+1</f>
        <v>75</v>
      </c>
      <c r="E114" s="70" t="s">
        <v>182</v>
      </c>
      <c r="F114" s="96">
        <v>33</v>
      </c>
      <c r="G114" s="198">
        <f t="shared" si="34"/>
        <v>-33</v>
      </c>
    </row>
    <row r="115" spans="1:7" s="3" customFormat="1" x14ac:dyDescent="0.25">
      <c r="A115" s="56">
        <f>+A113+1</f>
        <v>57</v>
      </c>
      <c r="B115" s="88" t="s">
        <v>184</v>
      </c>
      <c r="C115" s="96">
        <v>48</v>
      </c>
      <c r="D115" s="53">
        <f t="shared" ref="D115" si="35">+D114+1</f>
        <v>76</v>
      </c>
      <c r="E115" s="88" t="s">
        <v>184</v>
      </c>
      <c r="F115" s="96">
        <v>48</v>
      </c>
      <c r="G115" s="44">
        <f t="shared" si="34"/>
        <v>0</v>
      </c>
    </row>
    <row r="116" spans="1:7" s="2" customFormat="1" ht="6.75" customHeight="1" x14ac:dyDescent="0.25">
      <c r="A116" s="83"/>
      <c r="B116" s="78"/>
      <c r="C116" s="97"/>
      <c r="D116" s="73"/>
      <c r="E116" s="74"/>
      <c r="F116" s="97"/>
      <c r="G116" s="79"/>
    </row>
    <row r="117" spans="1:7" s="61" customFormat="1" x14ac:dyDescent="0.25">
      <c r="A117" s="56">
        <f>+A115+1</f>
        <v>58</v>
      </c>
      <c r="B117" s="54" t="s">
        <v>24</v>
      </c>
      <c r="C117" s="96">
        <f>562+110+90</f>
        <v>762</v>
      </c>
      <c r="D117" s="53">
        <f>+D115+1</f>
        <v>77</v>
      </c>
      <c r="E117" s="54" t="s">
        <v>24</v>
      </c>
      <c r="F117" s="96">
        <v>562</v>
      </c>
      <c r="G117" s="44">
        <f t="shared" ref="G117" si="36">+C117-F117</f>
        <v>200</v>
      </c>
    </row>
    <row r="118" spans="1:7" s="3" customFormat="1" x14ac:dyDescent="0.25">
      <c r="A118" s="53"/>
      <c r="B118" s="52" t="s">
        <v>123</v>
      </c>
      <c r="C118" s="96"/>
      <c r="D118" s="53"/>
      <c r="E118" s="52" t="s">
        <v>123</v>
      </c>
      <c r="F118" s="96"/>
      <c r="G118" s="44"/>
    </row>
    <row r="119" spans="1:7" s="3" customFormat="1" x14ac:dyDescent="0.25">
      <c r="A119" s="56">
        <f>+A117+1</f>
        <v>59</v>
      </c>
      <c r="B119" s="88" t="s">
        <v>185</v>
      </c>
      <c r="C119" s="96">
        <v>114</v>
      </c>
      <c r="D119" s="53">
        <f>+D117+1</f>
        <v>78</v>
      </c>
      <c r="E119" s="88" t="s">
        <v>185</v>
      </c>
      <c r="F119" s="96">
        <v>114</v>
      </c>
      <c r="G119" s="44">
        <f t="shared" ref="G119:G121" si="37">+C119-F119</f>
        <v>0</v>
      </c>
    </row>
    <row r="120" spans="1:7" s="3" customFormat="1" ht="17.25" x14ac:dyDescent="0.25">
      <c r="A120" s="56"/>
      <c r="B120" s="37"/>
      <c r="C120" s="96">
        <v>0</v>
      </c>
      <c r="D120" s="53">
        <f>+D119+1</f>
        <v>79</v>
      </c>
      <c r="E120" s="70" t="s">
        <v>186</v>
      </c>
      <c r="F120" s="96">
        <v>110</v>
      </c>
      <c r="G120" s="44">
        <f t="shared" si="37"/>
        <v>-110</v>
      </c>
    </row>
    <row r="121" spans="1:7" s="3" customFormat="1" ht="17.25" x14ac:dyDescent="0.25">
      <c r="A121" s="56"/>
      <c r="B121" s="37"/>
      <c r="C121" s="96">
        <v>0</v>
      </c>
      <c r="D121" s="53">
        <f>+D120+1</f>
        <v>80</v>
      </c>
      <c r="E121" s="70" t="s">
        <v>187</v>
      </c>
      <c r="F121" s="96">
        <v>108</v>
      </c>
      <c r="G121" s="44">
        <f t="shared" si="37"/>
        <v>-108</v>
      </c>
    </row>
    <row r="122" spans="1:7" s="2" customFormat="1" ht="6.75" customHeight="1" x14ac:dyDescent="0.25">
      <c r="A122" s="83"/>
      <c r="B122" s="78"/>
      <c r="C122" s="97"/>
      <c r="D122" s="73"/>
      <c r="E122" s="74"/>
      <c r="F122" s="97"/>
      <c r="G122" s="79"/>
    </row>
    <row r="123" spans="1:7" s="61" customFormat="1" x14ac:dyDescent="0.25">
      <c r="A123" s="56">
        <f>+A119+1</f>
        <v>60</v>
      </c>
      <c r="B123" s="54" t="s">
        <v>6</v>
      </c>
      <c r="C123" s="96">
        <f>+$F$123-($F$123*0.1)</f>
        <v>249.3</v>
      </c>
      <c r="D123" s="53">
        <f>+D121+1</f>
        <v>81</v>
      </c>
      <c r="E123" s="54" t="s">
        <v>6</v>
      </c>
      <c r="F123" s="96">
        <v>277</v>
      </c>
      <c r="G123" s="44">
        <f t="shared" ref="G123" si="38">+C123-F123</f>
        <v>-27.699999999999989</v>
      </c>
    </row>
    <row r="124" spans="1:7" s="2" customFormat="1" ht="6.75" customHeight="1" x14ac:dyDescent="0.25">
      <c r="A124" s="83"/>
      <c r="B124" s="78"/>
      <c r="C124" s="97"/>
      <c r="D124" s="73"/>
      <c r="E124" s="74"/>
      <c r="F124" s="97"/>
      <c r="G124" s="79"/>
    </row>
    <row r="125" spans="1:7" s="86" customFormat="1" x14ac:dyDescent="0.25">
      <c r="A125" s="56">
        <f>+A123+1</f>
        <v>61</v>
      </c>
      <c r="B125" s="54" t="s">
        <v>100</v>
      </c>
      <c r="C125" s="96"/>
      <c r="D125" s="53">
        <f>+D123+1</f>
        <v>82</v>
      </c>
      <c r="E125" s="54" t="s">
        <v>100</v>
      </c>
      <c r="F125" s="96">
        <v>0</v>
      </c>
      <c r="G125" s="98">
        <f t="shared" ref="G125" si="39">+C125-F125</f>
        <v>0</v>
      </c>
    </row>
    <row r="126" spans="1:7" s="2" customFormat="1" ht="6.75" customHeight="1" x14ac:dyDescent="0.25">
      <c r="A126" s="83"/>
      <c r="B126" s="78"/>
      <c r="C126" s="97"/>
      <c r="D126" s="73"/>
      <c r="E126" s="74"/>
      <c r="F126" s="97"/>
      <c r="G126" s="79"/>
    </row>
    <row r="127" spans="1:7" s="86" customFormat="1" x14ac:dyDescent="0.25">
      <c r="A127" s="56">
        <f>+A125+1</f>
        <v>62</v>
      </c>
      <c r="B127" s="54" t="s">
        <v>102</v>
      </c>
      <c r="C127" s="96"/>
      <c r="D127" s="53">
        <f>+D125+1</f>
        <v>83</v>
      </c>
      <c r="E127" s="54" t="s">
        <v>102</v>
      </c>
      <c r="F127" s="96">
        <v>0</v>
      </c>
      <c r="G127" s="98">
        <f t="shared" ref="G127" si="40">+C127-F127</f>
        <v>0</v>
      </c>
    </row>
    <row r="128" spans="1:7" s="86" customFormat="1" x14ac:dyDescent="0.25">
      <c r="A128" s="56"/>
      <c r="B128" s="52" t="s">
        <v>123</v>
      </c>
      <c r="C128" s="96"/>
      <c r="D128" s="53"/>
      <c r="E128" s="52" t="s">
        <v>123</v>
      </c>
      <c r="F128" s="96"/>
      <c r="G128" s="98"/>
    </row>
    <row r="129" spans="1:7" s="86" customFormat="1" x14ac:dyDescent="0.25">
      <c r="A129" s="56">
        <f>+A127+1</f>
        <v>63</v>
      </c>
      <c r="B129" s="54" t="s">
        <v>200</v>
      </c>
      <c r="C129" s="96">
        <v>0</v>
      </c>
      <c r="D129" s="53">
        <f>+D127+1</f>
        <v>84</v>
      </c>
      <c r="E129" s="54" t="s">
        <v>200</v>
      </c>
      <c r="F129" s="96">
        <v>0</v>
      </c>
      <c r="G129" s="44">
        <f t="shared" ref="G129" si="41">+C129-F129</f>
        <v>0</v>
      </c>
    </row>
    <row r="130" spans="1:7" s="2" customFormat="1" ht="6.75" customHeight="1" x14ac:dyDescent="0.25">
      <c r="A130" s="83"/>
      <c r="B130" s="78"/>
      <c r="C130" s="97"/>
      <c r="D130" s="73"/>
      <c r="E130" s="74"/>
      <c r="F130" s="97"/>
      <c r="G130" s="79"/>
    </row>
    <row r="131" spans="1:7" s="61" customFormat="1" ht="31.5" x14ac:dyDescent="0.25">
      <c r="A131" s="56">
        <f>+A129+1</f>
        <v>64</v>
      </c>
      <c r="B131" s="54" t="s">
        <v>188</v>
      </c>
      <c r="C131" s="96">
        <v>413</v>
      </c>
      <c r="D131" s="53">
        <f>+D129+1</f>
        <v>85</v>
      </c>
      <c r="E131" s="54" t="s">
        <v>189</v>
      </c>
      <c r="F131" s="96">
        <v>413</v>
      </c>
      <c r="G131" s="44">
        <f t="shared" ref="G131" si="42">+C131-F131</f>
        <v>0</v>
      </c>
    </row>
    <row r="132" spans="1:7" s="7" customFormat="1" x14ac:dyDescent="0.25">
      <c r="A132" s="56"/>
      <c r="B132" s="52"/>
      <c r="C132" s="96"/>
      <c r="D132" s="53"/>
      <c r="E132" s="52" t="s">
        <v>190</v>
      </c>
      <c r="F132" s="96"/>
      <c r="G132" s="98"/>
    </row>
    <row r="133" spans="1:7" s="3" customFormat="1" ht="17.25" x14ac:dyDescent="0.25">
      <c r="A133" s="56"/>
      <c r="B133" s="37"/>
      <c r="C133" s="96">
        <v>0</v>
      </c>
      <c r="D133" s="53">
        <f>+D131+1</f>
        <v>86</v>
      </c>
      <c r="E133" s="70" t="s">
        <v>191</v>
      </c>
      <c r="F133" s="96">
        <v>32</v>
      </c>
      <c r="G133" s="44">
        <f t="shared" ref="G133" si="43">+C133-F133</f>
        <v>-32</v>
      </c>
    </row>
    <row r="134" spans="1:7" s="2" customFormat="1" ht="6.75" customHeight="1" x14ac:dyDescent="0.25">
      <c r="A134" s="83"/>
      <c r="B134" s="78"/>
      <c r="C134" s="97"/>
      <c r="D134" s="73"/>
      <c r="E134" s="74"/>
      <c r="F134" s="97"/>
      <c r="G134" s="79"/>
    </row>
    <row r="135" spans="1:7" s="61" customFormat="1" x14ac:dyDescent="0.25">
      <c r="A135" s="56">
        <f>+A131+1</f>
        <v>65</v>
      </c>
      <c r="B135" s="54" t="s">
        <v>192</v>
      </c>
      <c r="C135" s="96">
        <v>1885</v>
      </c>
      <c r="D135" s="53">
        <f>+D133+1</f>
        <v>87</v>
      </c>
      <c r="E135" s="54" t="s">
        <v>193</v>
      </c>
      <c r="F135" s="96">
        <v>1885</v>
      </c>
      <c r="G135" s="44">
        <f t="shared" ref="G135" si="44">+C135-F135</f>
        <v>0</v>
      </c>
    </row>
    <row r="136" spans="1:7" s="2" customFormat="1" ht="6.75" customHeight="1" x14ac:dyDescent="0.25">
      <c r="A136" s="83"/>
      <c r="B136" s="78"/>
      <c r="C136" s="97"/>
      <c r="D136" s="73"/>
      <c r="E136" s="74"/>
      <c r="F136" s="97"/>
      <c r="G136" s="79"/>
    </row>
    <row r="137" spans="1:7" s="61" customFormat="1" x14ac:dyDescent="0.25">
      <c r="A137" s="56">
        <f>+A135+1</f>
        <v>66</v>
      </c>
      <c r="B137" s="54" t="s">
        <v>194</v>
      </c>
      <c r="C137" s="96">
        <f>+$F$137-($F$137*0.1)</f>
        <v>291.60000000000002</v>
      </c>
      <c r="D137" s="53">
        <f>+D135+1</f>
        <v>88</v>
      </c>
      <c r="E137" s="54" t="s">
        <v>194</v>
      </c>
      <c r="F137" s="96">
        <v>324</v>
      </c>
      <c r="G137" s="44">
        <f t="shared" ref="G137" si="45">+C137-F137</f>
        <v>-32.399999999999977</v>
      </c>
    </row>
    <row r="138" spans="1:7" s="2" customFormat="1" ht="6.75" customHeight="1" x14ac:dyDescent="0.25">
      <c r="A138" s="83"/>
      <c r="B138" s="78"/>
      <c r="C138" s="97"/>
      <c r="D138" s="73"/>
      <c r="E138" s="74"/>
      <c r="F138" s="97"/>
      <c r="G138" s="79"/>
    </row>
    <row r="139" spans="1:7" s="61" customFormat="1" ht="31.5" x14ac:dyDescent="0.25">
      <c r="A139" s="56"/>
      <c r="B139" s="58"/>
      <c r="C139" s="96">
        <v>0</v>
      </c>
      <c r="D139" s="53">
        <f>+D137+1</f>
        <v>89</v>
      </c>
      <c r="E139" s="63" t="s">
        <v>70</v>
      </c>
      <c r="F139" s="96">
        <v>73</v>
      </c>
      <c r="G139" s="44">
        <f t="shared" ref="G139" si="46">+C139-F139</f>
        <v>-73</v>
      </c>
    </row>
    <row r="140" spans="1:7" s="2" customFormat="1" ht="6.75" customHeight="1" x14ac:dyDescent="0.25">
      <c r="A140" s="83"/>
      <c r="B140" s="78"/>
      <c r="C140" s="97"/>
      <c r="D140" s="73"/>
      <c r="E140" s="74"/>
      <c r="F140" s="97"/>
      <c r="G140" s="79"/>
    </row>
    <row r="141" spans="1:7" s="3" customFormat="1" ht="31.5" x14ac:dyDescent="0.25">
      <c r="A141" s="56"/>
      <c r="B141" s="65"/>
      <c r="C141" s="96">
        <v>0</v>
      </c>
      <c r="D141" s="53">
        <f>+D139+1</f>
        <v>90</v>
      </c>
      <c r="E141" s="63" t="s">
        <v>86</v>
      </c>
      <c r="F141" s="96">
        <v>132</v>
      </c>
      <c r="G141" s="44">
        <f t="shared" ref="G141" si="47">+C141-F141</f>
        <v>-132</v>
      </c>
    </row>
    <row r="142" spans="1:7" s="2" customFormat="1" ht="6.75" customHeight="1" x14ac:dyDescent="0.25">
      <c r="A142" s="83"/>
      <c r="B142" s="78"/>
      <c r="C142" s="97"/>
      <c r="D142" s="73"/>
      <c r="E142" s="74"/>
      <c r="F142" s="97"/>
      <c r="G142" s="79"/>
    </row>
    <row r="143" spans="1:7" s="86" customFormat="1" x14ac:dyDescent="0.25">
      <c r="A143" s="56">
        <f>+A137+1</f>
        <v>67</v>
      </c>
      <c r="B143" s="54" t="s">
        <v>195</v>
      </c>
      <c r="C143" s="96">
        <f>+$F$143</f>
        <v>25</v>
      </c>
      <c r="D143" s="53">
        <f>+D141+1</f>
        <v>91</v>
      </c>
      <c r="E143" s="54" t="s">
        <v>195</v>
      </c>
      <c r="F143" s="96">
        <v>25</v>
      </c>
      <c r="G143" s="44">
        <f t="shared" ref="G143" si="48">+C143-F143</f>
        <v>0</v>
      </c>
    </row>
    <row r="144" spans="1:7" s="2" customFormat="1" ht="6.75" customHeight="1" x14ac:dyDescent="0.25">
      <c r="A144" s="83"/>
      <c r="B144" s="78"/>
      <c r="C144" s="97"/>
      <c r="D144" s="73"/>
      <c r="E144" s="74"/>
      <c r="F144" s="97"/>
      <c r="G144" s="79"/>
    </row>
    <row r="145" spans="1:7" s="61" customFormat="1" x14ac:dyDescent="0.25">
      <c r="A145" s="56">
        <f>+A143+1</f>
        <v>68</v>
      </c>
      <c r="B145" s="54" t="s">
        <v>10</v>
      </c>
      <c r="C145" s="96">
        <f>+$F$145-($F$145*0.1)</f>
        <v>139.5</v>
      </c>
      <c r="D145" s="53">
        <f>+D143+1</f>
        <v>92</v>
      </c>
      <c r="E145" s="54" t="s">
        <v>10</v>
      </c>
      <c r="F145" s="96">
        <v>155</v>
      </c>
      <c r="G145" s="44">
        <f t="shared" ref="G145" si="49">+C145-F145</f>
        <v>-15.5</v>
      </c>
    </row>
    <row r="146" spans="1:7" s="2" customFormat="1" ht="6.75" customHeight="1" x14ac:dyDescent="0.25">
      <c r="A146" s="83"/>
      <c r="B146" s="78"/>
      <c r="C146" s="97"/>
      <c r="D146" s="73"/>
      <c r="E146" s="74"/>
      <c r="F146" s="97"/>
      <c r="G146" s="79"/>
    </row>
    <row r="147" spans="1:7" s="61" customFormat="1" ht="31.5" x14ac:dyDescent="0.25">
      <c r="A147" s="56">
        <f>+A145+1</f>
        <v>69</v>
      </c>
      <c r="B147" s="54" t="s">
        <v>197</v>
      </c>
      <c r="C147" s="96">
        <v>33</v>
      </c>
      <c r="D147" s="53">
        <f>+D145+1</f>
        <v>93</v>
      </c>
      <c r="E147" s="54" t="s">
        <v>196</v>
      </c>
      <c r="F147" s="96">
        <v>33</v>
      </c>
      <c r="G147" s="44">
        <f t="shared" ref="G147" si="50">+C147-F147</f>
        <v>0</v>
      </c>
    </row>
    <row r="148" spans="1:7" s="2" customFormat="1" ht="6.75" customHeight="1" x14ac:dyDescent="0.25">
      <c r="A148" s="83"/>
      <c r="B148" s="78"/>
      <c r="C148" s="97"/>
      <c r="D148" s="73"/>
      <c r="E148" s="74"/>
      <c r="F148" s="97"/>
      <c r="G148" s="79"/>
    </row>
    <row r="149" spans="1:7" s="3" customFormat="1" ht="31.5" x14ac:dyDescent="0.25">
      <c r="A149" s="56">
        <f>+A147+1</f>
        <v>70</v>
      </c>
      <c r="B149" s="54" t="s">
        <v>203</v>
      </c>
      <c r="C149" s="96">
        <v>18</v>
      </c>
      <c r="D149" s="53">
        <f>+D147+1</f>
        <v>94</v>
      </c>
      <c r="E149" s="54" t="s">
        <v>202</v>
      </c>
      <c r="F149" s="96">
        <v>18</v>
      </c>
      <c r="G149" s="44">
        <f t="shared" ref="G149" si="51">+C149-F149</f>
        <v>0</v>
      </c>
    </row>
  </sheetData>
  <mergeCells count="42">
    <mergeCell ref="E3:F3"/>
    <mergeCell ref="D4:F4"/>
    <mergeCell ref="G4:G5"/>
    <mergeCell ref="B3:D3"/>
    <mergeCell ref="G113:G114"/>
    <mergeCell ref="G51:G52"/>
    <mergeCell ref="G73:G74"/>
    <mergeCell ref="G39:G41"/>
    <mergeCell ref="G43:G44"/>
    <mergeCell ref="A4:C4"/>
    <mergeCell ref="A16:A17"/>
    <mergeCell ref="B16:B17"/>
    <mergeCell ref="C16:C17"/>
    <mergeCell ref="G76:G77"/>
    <mergeCell ref="G33:G34"/>
    <mergeCell ref="G36:G37"/>
    <mergeCell ref="G16:G17"/>
    <mergeCell ref="A113:A114"/>
    <mergeCell ref="B113:B114"/>
    <mergeCell ref="C113:C114"/>
    <mergeCell ref="A51:A52"/>
    <mergeCell ref="B51:B52"/>
    <mergeCell ref="C51:C52"/>
    <mergeCell ref="A73:A74"/>
    <mergeCell ref="B73:B74"/>
    <mergeCell ref="C73:C74"/>
    <mergeCell ref="A2:G2"/>
    <mergeCell ref="A76:A77"/>
    <mergeCell ref="B76:B77"/>
    <mergeCell ref="C76:C77"/>
    <mergeCell ref="A39:A41"/>
    <mergeCell ref="B39:B41"/>
    <mergeCell ref="C39:C41"/>
    <mergeCell ref="A43:A44"/>
    <mergeCell ref="B43:B44"/>
    <mergeCell ref="C43:C44"/>
    <mergeCell ref="A33:A34"/>
    <mergeCell ref="B33:B34"/>
    <mergeCell ref="C33:C34"/>
    <mergeCell ref="A36:A37"/>
    <mergeCell ref="B36:B37"/>
    <mergeCell ref="C36:C37"/>
  </mergeCells>
  <printOptions horizontalCentered="1"/>
  <pageMargins left="0.19685039370078741" right="0.19685039370078741" top="0.39370078740157483" bottom="0.19685039370078741" header="0.31496062992125984" footer="0.31496062992125984"/>
  <pageSetup paperSize="12" scale="81" orientation="landscape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9"/>
  <sheetViews>
    <sheetView view="pageBreakPreview" zoomScale="115" zoomScaleNormal="100" zoomScaleSheetLayoutView="115" zoomScalePageLayoutView="85" workbookViewId="0">
      <selection activeCell="C10" sqref="C10"/>
    </sheetView>
  </sheetViews>
  <sheetFormatPr defaultRowHeight="16.5" x14ac:dyDescent="0.25"/>
  <cols>
    <col min="1" max="1" width="4.42578125" style="82" bestFit="1" customWidth="1"/>
    <col min="2" max="2" width="84.7109375" style="5" customWidth="1"/>
    <col min="3" max="3" width="13.42578125" style="5" bestFit="1" customWidth="1"/>
    <col min="4" max="4" width="4.42578125" style="81" bestFit="1" customWidth="1"/>
    <col min="5" max="5" width="84.7109375" style="5" customWidth="1"/>
    <col min="6" max="6" width="13.42578125" style="5" bestFit="1" customWidth="1"/>
    <col min="7" max="7" width="8.5703125" style="5" bestFit="1" customWidth="1"/>
    <col min="8" max="16384" width="9.140625" style="5"/>
  </cols>
  <sheetData>
    <row r="2" spans="1:10" ht="41.25" customHeight="1" x14ac:dyDescent="0.25">
      <c r="A2" s="155" t="s">
        <v>117</v>
      </c>
      <c r="B2" s="155"/>
      <c r="C2" s="155"/>
      <c r="D2" s="155"/>
      <c r="E2" s="155"/>
      <c r="F2" s="155"/>
      <c r="G2" s="155"/>
    </row>
    <row r="3" spans="1:10" x14ac:dyDescent="0.25">
      <c r="B3" s="153" t="s">
        <v>108</v>
      </c>
      <c r="C3" s="154"/>
      <c r="D3" s="154"/>
      <c r="E3" s="153"/>
      <c r="F3" s="154"/>
    </row>
    <row r="4" spans="1:10" s="89" customFormat="1" ht="15.75" x14ac:dyDescent="0.25">
      <c r="A4" s="190" t="s">
        <v>199</v>
      </c>
      <c r="B4" s="190"/>
      <c r="C4" s="190"/>
      <c r="D4" s="190" t="s">
        <v>124</v>
      </c>
      <c r="E4" s="190"/>
      <c r="F4" s="190"/>
      <c r="G4" s="149" t="s">
        <v>120</v>
      </c>
    </row>
    <row r="5" spans="1:10" s="13" customFormat="1" ht="48" customHeight="1" x14ac:dyDescent="0.25">
      <c r="A5" s="100" t="s">
        <v>0</v>
      </c>
      <c r="B5" s="99" t="s">
        <v>1</v>
      </c>
      <c r="C5" s="99" t="s">
        <v>112</v>
      </c>
      <c r="D5" s="100" t="s">
        <v>0</v>
      </c>
      <c r="E5" s="99" t="s">
        <v>1</v>
      </c>
      <c r="F5" s="99" t="s">
        <v>112</v>
      </c>
      <c r="G5" s="149"/>
    </row>
    <row r="6" spans="1:10" s="12" customFormat="1" ht="17.25" x14ac:dyDescent="0.25">
      <c r="A6" s="18"/>
      <c r="B6" s="11"/>
      <c r="C6" s="18">
        <f>SUM(C7:C149)</f>
        <v>93275.499999999971</v>
      </c>
      <c r="D6" s="16"/>
      <c r="E6" s="17" t="s">
        <v>5</v>
      </c>
      <c r="F6" s="18">
        <f>SUM(F7:F149)</f>
        <v>107189.75</v>
      </c>
      <c r="G6" s="92">
        <f>SUM(G7:G149)</f>
        <v>-13914.250000000002</v>
      </c>
    </row>
    <row r="7" spans="1:10" s="61" customFormat="1" x14ac:dyDescent="0.25">
      <c r="A7" s="104">
        <v>1</v>
      </c>
      <c r="B7" s="54" t="s">
        <v>125</v>
      </c>
      <c r="C7" s="103">
        <f>+$F$7-($F$7*0.2)+28+18</f>
        <v>1146.8</v>
      </c>
      <c r="D7" s="104">
        <v>1</v>
      </c>
      <c r="E7" s="54" t="s">
        <v>26</v>
      </c>
      <c r="F7" s="103">
        <v>1376</v>
      </c>
      <c r="G7" s="107">
        <f>+C7-F7</f>
        <v>-229.20000000000005</v>
      </c>
    </row>
    <row r="8" spans="1:10" s="3" customFormat="1" x14ac:dyDescent="0.25">
      <c r="A8" s="104"/>
      <c r="B8" s="52" t="s">
        <v>123</v>
      </c>
      <c r="C8" s="103"/>
      <c r="D8" s="104"/>
      <c r="E8" s="52"/>
      <c r="F8" s="103"/>
      <c r="G8" s="107"/>
    </row>
    <row r="9" spans="1:10" s="3" customFormat="1" x14ac:dyDescent="0.25">
      <c r="A9" s="104">
        <f>+A7+1</f>
        <v>2</v>
      </c>
      <c r="B9" s="62" t="s">
        <v>126</v>
      </c>
      <c r="C9" s="103">
        <v>55</v>
      </c>
      <c r="D9" s="104">
        <f>+D7+1</f>
        <v>2</v>
      </c>
      <c r="E9" s="62" t="s">
        <v>126</v>
      </c>
      <c r="F9" s="103">
        <v>55</v>
      </c>
      <c r="G9" s="107">
        <f t="shared" ref="G9:G14" si="0">+C9-F9</f>
        <v>0</v>
      </c>
    </row>
    <row r="10" spans="1:10" s="3" customFormat="1" x14ac:dyDescent="0.25">
      <c r="A10" s="104">
        <f>+A9+1</f>
        <v>3</v>
      </c>
      <c r="B10" s="102" t="s">
        <v>127</v>
      </c>
      <c r="C10" s="103">
        <f>+($F$10-($F$10*0.2))/2</f>
        <v>188</v>
      </c>
      <c r="D10" s="104">
        <f>+D9+1</f>
        <v>3</v>
      </c>
      <c r="E10" s="63" t="s">
        <v>30</v>
      </c>
      <c r="F10" s="103">
        <v>470</v>
      </c>
      <c r="G10" s="107">
        <f t="shared" si="0"/>
        <v>-282</v>
      </c>
      <c r="H10" s="33"/>
    </row>
    <row r="11" spans="1:10" s="3" customFormat="1" x14ac:dyDescent="0.25">
      <c r="A11" s="104">
        <f t="shared" ref="A11:A12" si="1">+A10+1</f>
        <v>4</v>
      </c>
      <c r="B11" s="62" t="s">
        <v>128</v>
      </c>
      <c r="C11" s="103">
        <v>29</v>
      </c>
      <c r="D11" s="104">
        <f t="shared" ref="D11:D14" si="2">+D10+1</f>
        <v>4</v>
      </c>
      <c r="E11" s="62" t="s">
        <v>128</v>
      </c>
      <c r="F11" s="103">
        <v>29</v>
      </c>
      <c r="G11" s="107">
        <f t="shared" si="0"/>
        <v>0</v>
      </c>
    </row>
    <row r="12" spans="1:10" s="3" customFormat="1" x14ac:dyDescent="0.25">
      <c r="A12" s="104">
        <f t="shared" si="1"/>
        <v>5</v>
      </c>
      <c r="B12" s="62" t="s">
        <v>129</v>
      </c>
      <c r="C12" s="103">
        <v>28</v>
      </c>
      <c r="D12" s="104">
        <f t="shared" si="2"/>
        <v>5</v>
      </c>
      <c r="E12" s="62" t="s">
        <v>129</v>
      </c>
      <c r="F12" s="103">
        <v>28</v>
      </c>
      <c r="G12" s="107">
        <f t="shared" si="0"/>
        <v>0</v>
      </c>
    </row>
    <row r="13" spans="1:10" s="7" customFormat="1" ht="17.25" x14ac:dyDescent="0.25">
      <c r="A13" s="101"/>
      <c r="B13" s="37"/>
      <c r="C13" s="103">
        <v>0</v>
      </c>
      <c r="D13" s="104">
        <f t="shared" si="2"/>
        <v>6</v>
      </c>
      <c r="E13" s="70" t="s">
        <v>130</v>
      </c>
      <c r="F13" s="103">
        <v>37</v>
      </c>
      <c r="G13" s="107">
        <f t="shared" si="0"/>
        <v>-37</v>
      </c>
    </row>
    <row r="14" spans="1:10" s="3" customFormat="1" ht="17.25" x14ac:dyDescent="0.25">
      <c r="A14" s="101"/>
      <c r="B14" s="37"/>
      <c r="C14" s="103">
        <v>0</v>
      </c>
      <c r="D14" s="104">
        <f t="shared" si="2"/>
        <v>7</v>
      </c>
      <c r="E14" s="70" t="s">
        <v>198</v>
      </c>
      <c r="F14" s="103">
        <v>31</v>
      </c>
      <c r="G14" s="107">
        <f t="shared" si="0"/>
        <v>-31</v>
      </c>
    </row>
    <row r="15" spans="1:10" s="2" customFormat="1" ht="6.75" customHeight="1" x14ac:dyDescent="0.25">
      <c r="A15" s="83"/>
      <c r="B15" s="78"/>
      <c r="C15" s="97"/>
      <c r="D15" s="73"/>
      <c r="E15" s="74"/>
      <c r="F15" s="97"/>
      <c r="G15" s="79"/>
    </row>
    <row r="16" spans="1:10" s="3" customFormat="1" x14ac:dyDescent="0.25">
      <c r="A16" s="195">
        <f>+A12+1</f>
        <v>6</v>
      </c>
      <c r="B16" s="197" t="s">
        <v>131</v>
      </c>
      <c r="C16" s="193">
        <f>+($F$17+$F$16)-(($F$16*0.2)+($F$17*0.2))-629+26+24</f>
        <v>5338.6</v>
      </c>
      <c r="D16" s="104">
        <f>+D14+1</f>
        <v>8</v>
      </c>
      <c r="E16" s="63" t="s">
        <v>18</v>
      </c>
      <c r="F16" s="103">
        <v>1917</v>
      </c>
      <c r="G16" s="198">
        <f>+C16-F16-F17</f>
        <v>-2058.3999999999996</v>
      </c>
      <c r="I16" s="33"/>
      <c r="J16" s="33"/>
    </row>
    <row r="17" spans="1:11" s="3" customFormat="1" x14ac:dyDescent="0.25">
      <c r="A17" s="195"/>
      <c r="B17" s="197"/>
      <c r="C17" s="193"/>
      <c r="D17" s="104">
        <f>+D16+1</f>
        <v>9</v>
      </c>
      <c r="E17" s="63" t="s">
        <v>19</v>
      </c>
      <c r="F17" s="103">
        <v>5480</v>
      </c>
      <c r="G17" s="198"/>
      <c r="I17" s="33"/>
      <c r="K17" s="33"/>
    </row>
    <row r="18" spans="1:11" s="3" customFormat="1" x14ac:dyDescent="0.25">
      <c r="A18" s="104"/>
      <c r="B18" s="52" t="s">
        <v>123</v>
      </c>
      <c r="C18" s="103"/>
      <c r="D18" s="104"/>
      <c r="E18" s="52"/>
      <c r="F18" s="103"/>
      <c r="G18" s="107"/>
      <c r="K18" s="33"/>
    </row>
    <row r="19" spans="1:11" s="3" customFormat="1" x14ac:dyDescent="0.25">
      <c r="A19" s="101">
        <f>+A16+1</f>
        <v>7</v>
      </c>
      <c r="B19" s="102" t="s">
        <v>132</v>
      </c>
      <c r="C19" s="103">
        <f>+$F$19-($F$19*0.2)</f>
        <v>9390.7999999999993</v>
      </c>
      <c r="D19" s="104">
        <f>+D17+1</f>
        <v>10</v>
      </c>
      <c r="E19" s="63" t="s">
        <v>39</v>
      </c>
      <c r="F19" s="103">
        <v>11738.5</v>
      </c>
      <c r="G19" s="107">
        <f t="shared" ref="G19:G32" si="3">+C19-F19</f>
        <v>-2347.7000000000007</v>
      </c>
    </row>
    <row r="20" spans="1:11" s="7" customFormat="1" x14ac:dyDescent="0.25">
      <c r="A20" s="101">
        <f>+A19+1</f>
        <v>8</v>
      </c>
      <c r="B20" s="102" t="s">
        <v>133</v>
      </c>
      <c r="C20" s="103">
        <v>0</v>
      </c>
      <c r="D20" s="104">
        <f>+D19+1</f>
        <v>11</v>
      </c>
      <c r="E20" s="63" t="s">
        <v>98</v>
      </c>
      <c r="F20" s="103">
        <v>0</v>
      </c>
      <c r="G20" s="107">
        <f t="shared" si="3"/>
        <v>0</v>
      </c>
    </row>
    <row r="21" spans="1:11" s="3" customFormat="1" x14ac:dyDescent="0.25">
      <c r="A21" s="101">
        <f t="shared" ref="A21:A27" si="4">+A20+1</f>
        <v>9</v>
      </c>
      <c r="B21" s="102" t="s">
        <v>134</v>
      </c>
      <c r="C21" s="103">
        <v>0</v>
      </c>
      <c r="D21" s="104">
        <f t="shared" ref="D21:D23" si="5">+D20+1</f>
        <v>12</v>
      </c>
      <c r="E21" s="63" t="s">
        <v>49</v>
      </c>
      <c r="F21" s="103">
        <v>0</v>
      </c>
      <c r="G21" s="107">
        <f t="shared" si="3"/>
        <v>0</v>
      </c>
    </row>
    <row r="22" spans="1:11" s="7" customFormat="1" x14ac:dyDescent="0.25">
      <c r="A22" s="101">
        <f t="shared" si="4"/>
        <v>10</v>
      </c>
      <c r="B22" s="102" t="s">
        <v>55</v>
      </c>
      <c r="C22" s="103">
        <f>+$F$22-($F$22*0.2)</f>
        <v>378.4</v>
      </c>
      <c r="D22" s="104">
        <f t="shared" si="5"/>
        <v>13</v>
      </c>
      <c r="E22" s="63" t="s">
        <v>55</v>
      </c>
      <c r="F22" s="103">
        <v>473</v>
      </c>
      <c r="G22" s="107">
        <f t="shared" si="3"/>
        <v>-94.600000000000023</v>
      </c>
    </row>
    <row r="23" spans="1:11" s="3" customFormat="1" x14ac:dyDescent="0.25">
      <c r="A23" s="101">
        <f t="shared" si="4"/>
        <v>11</v>
      </c>
      <c r="B23" s="102" t="s">
        <v>135</v>
      </c>
      <c r="C23" s="103">
        <f>+$F$23-($F$23*0.15)</f>
        <v>1139.8499999999999</v>
      </c>
      <c r="D23" s="104">
        <f t="shared" si="5"/>
        <v>14</v>
      </c>
      <c r="E23" s="63" t="s">
        <v>67</v>
      </c>
      <c r="F23" s="103">
        <v>1341</v>
      </c>
      <c r="G23" s="107">
        <f t="shared" si="3"/>
        <v>-201.15000000000009</v>
      </c>
    </row>
    <row r="24" spans="1:11" s="3" customFormat="1" x14ac:dyDescent="0.25">
      <c r="A24" s="101">
        <f t="shared" si="4"/>
        <v>12</v>
      </c>
      <c r="B24" s="71" t="s">
        <v>138</v>
      </c>
      <c r="C24" s="103"/>
      <c r="D24" s="104"/>
      <c r="E24" s="71" t="s">
        <v>136</v>
      </c>
      <c r="F24" s="103"/>
      <c r="G24" s="107">
        <f t="shared" si="3"/>
        <v>0</v>
      </c>
    </row>
    <row r="25" spans="1:11" s="3" customFormat="1" x14ac:dyDescent="0.25">
      <c r="A25" s="101">
        <f t="shared" si="4"/>
        <v>13</v>
      </c>
      <c r="B25" s="62" t="s">
        <v>137</v>
      </c>
      <c r="C25" s="103">
        <v>55</v>
      </c>
      <c r="D25" s="104">
        <f>+D23+1</f>
        <v>15</v>
      </c>
      <c r="E25" s="62" t="s">
        <v>137</v>
      </c>
      <c r="F25" s="103">
        <v>55</v>
      </c>
      <c r="G25" s="107">
        <f t="shared" si="3"/>
        <v>0</v>
      </c>
    </row>
    <row r="26" spans="1:11" s="3" customFormat="1" x14ac:dyDescent="0.25">
      <c r="A26" s="101">
        <f t="shared" si="4"/>
        <v>14</v>
      </c>
      <c r="B26" s="71" t="s">
        <v>139</v>
      </c>
      <c r="C26" s="103">
        <f>+$F$26-($F$26*0.2)</f>
        <v>2558.4</v>
      </c>
      <c r="D26" s="104">
        <f t="shared" ref="D26:D29" si="6">+D25+1</f>
        <v>16</v>
      </c>
      <c r="E26" s="71" t="s">
        <v>139</v>
      </c>
      <c r="F26" s="103">
        <v>3198</v>
      </c>
      <c r="G26" s="107">
        <f t="shared" si="3"/>
        <v>-639.59999999999991</v>
      </c>
    </row>
    <row r="27" spans="1:11" s="3" customFormat="1" x14ac:dyDescent="0.25">
      <c r="A27" s="101">
        <f t="shared" si="4"/>
        <v>15</v>
      </c>
      <c r="B27" s="71" t="s">
        <v>140</v>
      </c>
      <c r="C27" s="103">
        <f>+$F$27-($F$27*0.2)</f>
        <v>418.4</v>
      </c>
      <c r="D27" s="104">
        <f t="shared" si="6"/>
        <v>17</v>
      </c>
      <c r="E27" s="71" t="s">
        <v>140</v>
      </c>
      <c r="F27" s="103">
        <v>523</v>
      </c>
      <c r="G27" s="107">
        <f t="shared" si="3"/>
        <v>-104.60000000000002</v>
      </c>
    </row>
    <row r="28" spans="1:11" s="7" customFormat="1" ht="17.25" x14ac:dyDescent="0.25">
      <c r="A28" s="101"/>
      <c r="B28" s="37"/>
      <c r="C28" s="103"/>
      <c r="D28" s="104">
        <f t="shared" si="6"/>
        <v>18</v>
      </c>
      <c r="E28" s="70" t="s">
        <v>141</v>
      </c>
      <c r="F28" s="103">
        <v>26</v>
      </c>
      <c r="G28" s="107">
        <f t="shared" si="3"/>
        <v>-26</v>
      </c>
    </row>
    <row r="29" spans="1:11" s="3" customFormat="1" ht="17.25" x14ac:dyDescent="0.25">
      <c r="A29" s="101"/>
      <c r="B29" s="37"/>
      <c r="C29" s="103"/>
      <c r="D29" s="104">
        <f t="shared" si="6"/>
        <v>19</v>
      </c>
      <c r="E29" s="70" t="s">
        <v>142</v>
      </c>
      <c r="F29" s="103">
        <v>24</v>
      </c>
      <c r="G29" s="107">
        <f t="shared" si="3"/>
        <v>-24</v>
      </c>
    </row>
    <row r="30" spans="1:11" s="2" customFormat="1" ht="6.75" customHeight="1" x14ac:dyDescent="0.25">
      <c r="A30" s="83"/>
      <c r="B30" s="78"/>
      <c r="C30" s="97"/>
      <c r="D30" s="73"/>
      <c r="E30" s="74"/>
      <c r="F30" s="97"/>
      <c r="G30" s="79"/>
    </row>
    <row r="31" spans="1:11" s="3" customFormat="1" x14ac:dyDescent="0.25">
      <c r="A31" s="101">
        <f>+A27+1</f>
        <v>16</v>
      </c>
      <c r="B31" s="105" t="s">
        <v>144</v>
      </c>
      <c r="C31" s="103">
        <v>91</v>
      </c>
      <c r="D31" s="104">
        <f>+D29+1</f>
        <v>20</v>
      </c>
      <c r="E31" s="63" t="s">
        <v>143</v>
      </c>
      <c r="F31" s="103">
        <v>91</v>
      </c>
      <c r="G31" s="107">
        <f t="shared" si="3"/>
        <v>0</v>
      </c>
    </row>
    <row r="32" spans="1:11" s="3" customFormat="1" x14ac:dyDescent="0.25">
      <c r="A32" s="104"/>
      <c r="B32" s="52" t="s">
        <v>123</v>
      </c>
      <c r="C32" s="103"/>
      <c r="D32" s="104"/>
      <c r="E32" s="23"/>
      <c r="F32" s="103"/>
      <c r="G32" s="107">
        <f t="shared" si="3"/>
        <v>0</v>
      </c>
    </row>
    <row r="33" spans="1:9" s="3" customFormat="1" x14ac:dyDescent="0.25">
      <c r="A33" s="191">
        <f>+A31+1</f>
        <v>17</v>
      </c>
      <c r="B33" s="192" t="s">
        <v>145</v>
      </c>
      <c r="C33" s="193">
        <f>+($F$33+$F$34)-($F$34*0.2)</f>
        <v>277.8</v>
      </c>
      <c r="D33" s="104">
        <f>+D31+1</f>
        <v>21</v>
      </c>
      <c r="E33" s="23" t="s">
        <v>146</v>
      </c>
      <c r="F33" s="103">
        <v>89</v>
      </c>
      <c r="G33" s="198">
        <f>+C33-F33-F34</f>
        <v>-47.199999999999989</v>
      </c>
    </row>
    <row r="34" spans="1:9" s="3" customFormat="1" x14ac:dyDescent="0.25">
      <c r="A34" s="191"/>
      <c r="B34" s="192"/>
      <c r="C34" s="193"/>
      <c r="D34" s="104">
        <f>+D33+1</f>
        <v>22</v>
      </c>
      <c r="E34" s="63" t="s">
        <v>43</v>
      </c>
      <c r="F34" s="103">
        <v>236</v>
      </c>
      <c r="G34" s="198"/>
    </row>
    <row r="35" spans="1:9" s="2" customFormat="1" ht="6.75" customHeight="1" x14ac:dyDescent="0.25">
      <c r="A35" s="83"/>
      <c r="B35" s="78"/>
      <c r="C35" s="97"/>
      <c r="D35" s="73"/>
      <c r="E35" s="74"/>
      <c r="F35" s="97"/>
      <c r="G35" s="79"/>
    </row>
    <row r="36" spans="1:9" s="3" customFormat="1" x14ac:dyDescent="0.25">
      <c r="A36" s="191">
        <f>+A33+1</f>
        <v>18</v>
      </c>
      <c r="B36" s="197" t="s">
        <v>147</v>
      </c>
      <c r="C36" s="193">
        <f>+($F$36+$F$37)-(($F$36*0.2)+($F$37*0.2))</f>
        <v>1389.6</v>
      </c>
      <c r="D36" s="104">
        <f>+D34+1</f>
        <v>23</v>
      </c>
      <c r="E36" s="63" t="s">
        <v>25</v>
      </c>
      <c r="F36" s="103">
        <v>819</v>
      </c>
      <c r="G36" s="198">
        <f>+C36-F36-F37</f>
        <v>-347.40000000000009</v>
      </c>
    </row>
    <row r="37" spans="1:9" s="3" customFormat="1" x14ac:dyDescent="0.25">
      <c r="A37" s="195"/>
      <c r="B37" s="197"/>
      <c r="C37" s="193"/>
      <c r="D37" s="104">
        <f>+D36+1</f>
        <v>24</v>
      </c>
      <c r="E37" s="63" t="s">
        <v>32</v>
      </c>
      <c r="F37" s="103">
        <v>918</v>
      </c>
      <c r="G37" s="198"/>
    </row>
    <row r="38" spans="1:9" s="3" customFormat="1" x14ac:dyDescent="0.25">
      <c r="A38" s="104"/>
      <c r="B38" s="52" t="s">
        <v>123</v>
      </c>
      <c r="C38" s="103"/>
      <c r="D38" s="104"/>
      <c r="E38" s="52" t="s">
        <v>153</v>
      </c>
      <c r="F38" s="103"/>
      <c r="G38" s="107"/>
    </row>
    <row r="39" spans="1:9" s="7" customFormat="1" x14ac:dyDescent="0.25">
      <c r="A39" s="191">
        <f>+A36+1</f>
        <v>19</v>
      </c>
      <c r="B39" s="194" t="s">
        <v>151</v>
      </c>
      <c r="C39" s="193">
        <f>+($F$39+$F$40+$F$41)-(($F$39*0.2)+($F$40*0.2)+($F$41*0.2))</f>
        <v>156.80000000000001</v>
      </c>
      <c r="D39" s="104">
        <f>+D37+1</f>
        <v>25</v>
      </c>
      <c r="E39" s="70" t="s">
        <v>150</v>
      </c>
      <c r="F39" s="103">
        <v>34</v>
      </c>
      <c r="G39" s="198">
        <f>+C39-F39-F40-F41</f>
        <v>-39.199999999999989</v>
      </c>
    </row>
    <row r="40" spans="1:9" s="3" customFormat="1" x14ac:dyDescent="0.25">
      <c r="A40" s="191"/>
      <c r="B40" s="194"/>
      <c r="C40" s="193"/>
      <c r="D40" s="104">
        <f>+D39+1</f>
        <v>26</v>
      </c>
      <c r="E40" s="70" t="s">
        <v>148</v>
      </c>
      <c r="F40" s="103">
        <v>89</v>
      </c>
      <c r="G40" s="198"/>
    </row>
    <row r="41" spans="1:9" s="3" customFormat="1" x14ac:dyDescent="0.25">
      <c r="A41" s="191"/>
      <c r="B41" s="194"/>
      <c r="C41" s="193"/>
      <c r="D41" s="104">
        <f>+D40+1</f>
        <v>27</v>
      </c>
      <c r="E41" s="70" t="s">
        <v>149</v>
      </c>
      <c r="F41" s="103">
        <v>73</v>
      </c>
      <c r="G41" s="198"/>
    </row>
    <row r="42" spans="1:9" s="2" customFormat="1" ht="6.75" customHeight="1" x14ac:dyDescent="0.25">
      <c r="A42" s="83"/>
      <c r="B42" s="78"/>
      <c r="C42" s="97"/>
      <c r="D42" s="73"/>
      <c r="E42" s="74"/>
      <c r="F42" s="97"/>
      <c r="G42" s="79"/>
    </row>
    <row r="43" spans="1:9" s="3" customFormat="1" x14ac:dyDescent="0.25">
      <c r="A43" s="191">
        <f>+A39+1</f>
        <v>20</v>
      </c>
      <c r="B43" s="196" t="s">
        <v>152</v>
      </c>
      <c r="C43" s="193">
        <f>+($F$43+$F$44)-(($F$43*0.2)-($F$44*0.2))+629+684</f>
        <v>5255.2</v>
      </c>
      <c r="D43" s="104">
        <f>+D41+1</f>
        <v>28</v>
      </c>
      <c r="E43" s="63" t="s">
        <v>21</v>
      </c>
      <c r="F43" s="103">
        <v>3042.25</v>
      </c>
      <c r="G43" s="198">
        <f>+C43-F43-F44</f>
        <v>955.94999999999982</v>
      </c>
    </row>
    <row r="44" spans="1:9" s="3" customFormat="1" x14ac:dyDescent="0.25">
      <c r="A44" s="195"/>
      <c r="B44" s="196"/>
      <c r="C44" s="193"/>
      <c r="D44" s="104">
        <f>+D43+1</f>
        <v>29</v>
      </c>
      <c r="E44" s="63" t="s">
        <v>38</v>
      </c>
      <c r="F44" s="103">
        <v>1257</v>
      </c>
      <c r="G44" s="198"/>
    </row>
    <row r="45" spans="1:9" s="3" customFormat="1" x14ac:dyDescent="0.25">
      <c r="A45" s="104"/>
      <c r="B45" s="52" t="s">
        <v>123</v>
      </c>
      <c r="C45" s="103"/>
      <c r="D45" s="104"/>
      <c r="E45" s="23"/>
      <c r="F45" s="103"/>
      <c r="G45" s="107"/>
      <c r="H45" s="33"/>
    </row>
    <row r="46" spans="1:9" s="3" customFormat="1" x14ac:dyDescent="0.25">
      <c r="A46" s="101">
        <f>+A43+1</f>
        <v>21</v>
      </c>
      <c r="B46" s="102" t="s">
        <v>46</v>
      </c>
      <c r="C46" s="103">
        <f>+$F$46-43</f>
        <v>9483</v>
      </c>
      <c r="D46" s="104">
        <f>+D44+1</f>
        <v>30</v>
      </c>
      <c r="E46" s="63" t="s">
        <v>46</v>
      </c>
      <c r="F46" s="103">
        <v>9526</v>
      </c>
      <c r="G46" s="107">
        <f t="shared" ref="G46:G49" si="7">+C46-F46</f>
        <v>-43</v>
      </c>
      <c r="I46" s="33"/>
    </row>
    <row r="47" spans="1:9" s="3" customFormat="1" ht="31.5" x14ac:dyDescent="0.25">
      <c r="A47" s="101">
        <f>+A46+1</f>
        <v>22</v>
      </c>
      <c r="B47" s="102" t="s">
        <v>154</v>
      </c>
      <c r="C47" s="103">
        <f>+$F$47-54</f>
        <v>9527</v>
      </c>
      <c r="D47" s="104">
        <f t="shared" ref="D47:D52" si="8">+D46+1</f>
        <v>31</v>
      </c>
      <c r="E47" s="70" t="s">
        <v>57</v>
      </c>
      <c r="F47" s="103">
        <v>9581</v>
      </c>
      <c r="G47" s="107">
        <f t="shared" si="7"/>
        <v>-54</v>
      </c>
      <c r="I47" s="33"/>
    </row>
    <row r="48" spans="1:9" s="3" customFormat="1" ht="31.5" x14ac:dyDescent="0.25">
      <c r="A48" s="101">
        <f>+A47+1</f>
        <v>23</v>
      </c>
      <c r="B48" s="102" t="s">
        <v>155</v>
      </c>
      <c r="C48" s="103">
        <f>+$F$48-($F$48*0.15)</f>
        <v>157.25</v>
      </c>
      <c r="D48" s="104">
        <f t="shared" si="8"/>
        <v>32</v>
      </c>
      <c r="E48" s="70" t="s">
        <v>76</v>
      </c>
      <c r="F48" s="103">
        <v>185</v>
      </c>
      <c r="G48" s="107">
        <f t="shared" si="7"/>
        <v>-27.75</v>
      </c>
    </row>
    <row r="49" spans="1:7" s="3" customFormat="1" ht="17.25" x14ac:dyDescent="0.25">
      <c r="A49" s="101"/>
      <c r="B49" s="37"/>
      <c r="C49" s="103"/>
      <c r="D49" s="104">
        <f t="shared" si="8"/>
        <v>33</v>
      </c>
      <c r="E49" s="63" t="s">
        <v>73</v>
      </c>
      <c r="F49" s="103">
        <v>805</v>
      </c>
      <c r="G49" s="107">
        <f t="shared" si="7"/>
        <v>-805</v>
      </c>
    </row>
    <row r="50" spans="1:7" s="2" customFormat="1" ht="6.75" customHeight="1" x14ac:dyDescent="0.25">
      <c r="A50" s="83"/>
      <c r="B50" s="78"/>
      <c r="C50" s="97"/>
      <c r="D50" s="73"/>
      <c r="E50" s="74"/>
      <c r="F50" s="97"/>
      <c r="G50" s="79"/>
    </row>
    <row r="51" spans="1:7" s="3" customFormat="1" x14ac:dyDescent="0.25">
      <c r="A51" s="191">
        <f>+A48+1</f>
        <v>24</v>
      </c>
      <c r="B51" s="196" t="s">
        <v>156</v>
      </c>
      <c r="C51" s="193">
        <f>+($F$51+$F$52)-(($F$51*0.2)+($F$52*0.2))+16+36</f>
        <v>455.2</v>
      </c>
      <c r="D51" s="104">
        <f>+D49+1</f>
        <v>34</v>
      </c>
      <c r="E51" s="63" t="s">
        <v>34</v>
      </c>
      <c r="F51" s="103">
        <v>166</v>
      </c>
      <c r="G51" s="198">
        <f>+C51-F51-F52</f>
        <v>-48.800000000000011</v>
      </c>
    </row>
    <row r="52" spans="1:7" s="3" customFormat="1" x14ac:dyDescent="0.25">
      <c r="A52" s="195"/>
      <c r="B52" s="196"/>
      <c r="C52" s="193"/>
      <c r="D52" s="104">
        <f t="shared" si="8"/>
        <v>35</v>
      </c>
      <c r="E52" s="63" t="s">
        <v>22</v>
      </c>
      <c r="F52" s="103">
        <v>338</v>
      </c>
      <c r="G52" s="198"/>
    </row>
    <row r="53" spans="1:7" s="3" customFormat="1" x14ac:dyDescent="0.25">
      <c r="A53" s="104"/>
      <c r="B53" s="52" t="s">
        <v>123</v>
      </c>
      <c r="C53" s="103"/>
      <c r="D53" s="104"/>
      <c r="E53" s="23"/>
      <c r="F53" s="103"/>
      <c r="G53" s="107"/>
    </row>
    <row r="54" spans="1:7" s="3" customFormat="1" x14ac:dyDescent="0.25">
      <c r="A54" s="101">
        <f>+A51+1</f>
        <v>25</v>
      </c>
      <c r="B54" s="102" t="s">
        <v>157</v>
      </c>
      <c r="C54" s="103">
        <f>+$F$54-($F$54*0.2)</f>
        <v>105.6</v>
      </c>
      <c r="D54" s="104">
        <f>+D52+1</f>
        <v>36</v>
      </c>
      <c r="E54" s="63" t="s">
        <v>9</v>
      </c>
      <c r="F54" s="103">
        <v>132</v>
      </c>
      <c r="G54" s="107">
        <f t="shared" ref="G54:G56" si="9">+C54-F54</f>
        <v>-26.400000000000006</v>
      </c>
    </row>
    <row r="55" spans="1:7" s="3" customFormat="1" x14ac:dyDescent="0.25">
      <c r="A55" s="101">
        <f>+A54+1</f>
        <v>26</v>
      </c>
      <c r="B55" s="102" t="s">
        <v>158</v>
      </c>
      <c r="C55" s="103">
        <f>+$F$55-($F$55*0.2)</f>
        <v>126.4</v>
      </c>
      <c r="D55" s="104">
        <f>+D54+1</f>
        <v>37</v>
      </c>
      <c r="E55" s="63" t="s">
        <v>90</v>
      </c>
      <c r="F55" s="103">
        <v>158</v>
      </c>
      <c r="G55" s="107">
        <f t="shared" si="9"/>
        <v>-31.599999999999994</v>
      </c>
    </row>
    <row r="56" spans="1:7" s="3" customFormat="1" ht="17.25" x14ac:dyDescent="0.25">
      <c r="A56" s="101"/>
      <c r="B56" s="37"/>
      <c r="C56" s="103">
        <v>0</v>
      </c>
      <c r="D56" s="104">
        <f>+D55+1</f>
        <v>38</v>
      </c>
      <c r="E56" s="63" t="s">
        <v>94</v>
      </c>
      <c r="F56" s="103">
        <v>16</v>
      </c>
      <c r="G56" s="107">
        <f t="shared" si="9"/>
        <v>-16</v>
      </c>
    </row>
    <row r="57" spans="1:7" s="2" customFormat="1" ht="6.75" customHeight="1" x14ac:dyDescent="0.25">
      <c r="A57" s="83"/>
      <c r="B57" s="78"/>
      <c r="C57" s="97"/>
      <c r="D57" s="73"/>
      <c r="E57" s="74"/>
      <c r="F57" s="97"/>
      <c r="G57" s="79"/>
    </row>
    <row r="58" spans="1:7" s="61" customFormat="1" x14ac:dyDescent="0.25">
      <c r="A58" s="101">
        <f>+A55+1</f>
        <v>27</v>
      </c>
      <c r="B58" s="54" t="s">
        <v>23</v>
      </c>
      <c r="C58" s="103">
        <f>+$F$58-($F$58*0.2)+36</f>
        <v>3922</v>
      </c>
      <c r="D58" s="104">
        <f>+D56+1</f>
        <v>39</v>
      </c>
      <c r="E58" s="54" t="s">
        <v>23</v>
      </c>
      <c r="F58" s="103">
        <v>4857.5</v>
      </c>
      <c r="G58" s="107">
        <f t="shared" ref="G58" si="10">+C58-F58</f>
        <v>-935.5</v>
      </c>
    </row>
    <row r="59" spans="1:7" s="3" customFormat="1" x14ac:dyDescent="0.25">
      <c r="A59" s="104"/>
      <c r="B59" s="52" t="s">
        <v>123</v>
      </c>
      <c r="C59" s="103"/>
      <c r="D59" s="104"/>
      <c r="E59" s="23"/>
      <c r="F59" s="103"/>
      <c r="G59" s="107"/>
    </row>
    <row r="60" spans="1:7" s="3" customFormat="1" x14ac:dyDescent="0.25">
      <c r="A60" s="101">
        <f>+A58+1</f>
        <v>28</v>
      </c>
      <c r="B60" s="102" t="s">
        <v>159</v>
      </c>
      <c r="C60" s="103">
        <f>+$F$60</f>
        <v>2446.5</v>
      </c>
      <c r="D60" s="104">
        <f>+D58+1</f>
        <v>40</v>
      </c>
      <c r="E60" s="63" t="s">
        <v>33</v>
      </c>
      <c r="F60" s="103">
        <v>2446.5</v>
      </c>
      <c r="G60" s="107">
        <f t="shared" ref="G60" si="11">+C60-F60</f>
        <v>0</v>
      </c>
    </row>
    <row r="61" spans="1:7" s="2" customFormat="1" ht="6.75" customHeight="1" x14ac:dyDescent="0.25">
      <c r="A61" s="83"/>
      <c r="B61" s="78"/>
      <c r="C61" s="97"/>
      <c r="D61" s="73"/>
      <c r="E61" s="74"/>
      <c r="F61" s="97"/>
      <c r="G61" s="79"/>
    </row>
    <row r="62" spans="1:7" s="3" customFormat="1" x14ac:dyDescent="0.25">
      <c r="A62" s="101">
        <f>+A60+1</f>
        <v>29</v>
      </c>
      <c r="B62" s="105" t="s">
        <v>160</v>
      </c>
      <c r="C62" s="103">
        <f>+$F$62-($F$62*0.2)+15</f>
        <v>1366.2</v>
      </c>
      <c r="D62" s="104">
        <f>+D60+1</f>
        <v>41</v>
      </c>
      <c r="E62" s="63" t="s">
        <v>41</v>
      </c>
      <c r="F62" s="103">
        <v>1689</v>
      </c>
      <c r="G62" s="107">
        <f t="shared" ref="G62" si="12">+C62-F62</f>
        <v>-322.79999999999995</v>
      </c>
    </row>
    <row r="63" spans="1:7" s="3" customFormat="1" x14ac:dyDescent="0.25">
      <c r="A63" s="101"/>
      <c r="B63" s="52" t="s">
        <v>123</v>
      </c>
      <c r="C63" s="103"/>
      <c r="D63" s="104"/>
      <c r="E63" s="23"/>
      <c r="F63" s="103"/>
      <c r="G63" s="107"/>
    </row>
    <row r="64" spans="1:7" s="3" customFormat="1" x14ac:dyDescent="0.25">
      <c r="A64" s="101">
        <f>+A62+1</f>
        <v>30</v>
      </c>
      <c r="B64" s="102" t="s">
        <v>161</v>
      </c>
      <c r="C64" s="103">
        <f>+$F$64</f>
        <v>154</v>
      </c>
      <c r="D64" s="104">
        <f>+D62+1</f>
        <v>42</v>
      </c>
      <c r="E64" s="63" t="s">
        <v>44</v>
      </c>
      <c r="F64" s="103">
        <v>154</v>
      </c>
      <c r="G64" s="107">
        <f t="shared" ref="G64:G65" si="13">+C64-F64</f>
        <v>0</v>
      </c>
    </row>
    <row r="65" spans="1:10" s="3" customFormat="1" x14ac:dyDescent="0.25">
      <c r="A65" s="101">
        <f>+A64+1</f>
        <v>31</v>
      </c>
      <c r="B65" s="102" t="s">
        <v>162</v>
      </c>
      <c r="C65" s="103">
        <f>+$F$65-($F$65*0.2)</f>
        <v>1427.2</v>
      </c>
      <c r="D65" s="104">
        <f>+D64+1</f>
        <v>43</v>
      </c>
      <c r="E65" s="63" t="s">
        <v>89</v>
      </c>
      <c r="F65" s="103">
        <v>1784</v>
      </c>
      <c r="G65" s="107">
        <f t="shared" si="13"/>
        <v>-356.79999999999995</v>
      </c>
    </row>
    <row r="66" spans="1:10" s="2" customFormat="1" ht="6.75" customHeight="1" x14ac:dyDescent="0.25">
      <c r="A66" s="83"/>
      <c r="B66" s="78"/>
      <c r="C66" s="97"/>
      <c r="D66" s="73"/>
      <c r="E66" s="74"/>
      <c r="F66" s="97"/>
      <c r="G66" s="79"/>
    </row>
    <row r="67" spans="1:10" s="61" customFormat="1" x14ac:dyDescent="0.25">
      <c r="A67" s="101">
        <f>+A65+1</f>
        <v>32</v>
      </c>
      <c r="B67" s="54" t="s">
        <v>180</v>
      </c>
      <c r="C67" s="103">
        <f>+$F$67-($F$67*0.2)</f>
        <v>536</v>
      </c>
      <c r="D67" s="104">
        <f>+D65+1</f>
        <v>44</v>
      </c>
      <c r="E67" s="54" t="s">
        <v>31</v>
      </c>
      <c r="F67" s="103">
        <v>670</v>
      </c>
      <c r="G67" s="107">
        <f t="shared" ref="G67" si="14">+C67-F67</f>
        <v>-134</v>
      </c>
      <c r="J67" s="60"/>
    </row>
    <row r="68" spans="1:10" s="3" customFormat="1" x14ac:dyDescent="0.25">
      <c r="A68" s="101"/>
      <c r="B68" s="52" t="s">
        <v>123</v>
      </c>
      <c r="C68" s="103"/>
      <c r="D68" s="104"/>
      <c r="E68" s="23"/>
      <c r="F68" s="103"/>
      <c r="G68" s="107"/>
    </row>
    <row r="69" spans="1:10" s="3" customFormat="1" x14ac:dyDescent="0.25">
      <c r="A69" s="101">
        <f>+A67+1</f>
        <v>33</v>
      </c>
      <c r="B69" s="102" t="s">
        <v>71</v>
      </c>
      <c r="C69" s="103">
        <f>+$F$69-270</f>
        <v>10389</v>
      </c>
      <c r="D69" s="104">
        <f>+D67+1</f>
        <v>45</v>
      </c>
      <c r="E69" s="63" t="s">
        <v>71</v>
      </c>
      <c r="F69" s="103">
        <v>10659</v>
      </c>
      <c r="G69" s="107">
        <f t="shared" ref="G69" si="15">+C69-F69</f>
        <v>-270</v>
      </c>
      <c r="I69" s="33"/>
    </row>
    <row r="70" spans="1:10" s="2" customFormat="1" ht="6.75" customHeight="1" x14ac:dyDescent="0.25">
      <c r="A70" s="83"/>
      <c r="B70" s="78"/>
      <c r="C70" s="97"/>
      <c r="D70" s="73"/>
      <c r="E70" s="74"/>
      <c r="F70" s="97"/>
      <c r="G70" s="79"/>
    </row>
    <row r="71" spans="1:10" s="61" customFormat="1" x14ac:dyDescent="0.25">
      <c r="A71" s="101">
        <f>+A69+1</f>
        <v>34</v>
      </c>
      <c r="B71" s="54" t="s">
        <v>35</v>
      </c>
      <c r="C71" s="103">
        <f>+$F$71-($F$71*0.2)+573+15</f>
        <v>3044</v>
      </c>
      <c r="D71" s="104">
        <f>+D69+1</f>
        <v>46</v>
      </c>
      <c r="E71" s="54" t="s">
        <v>35</v>
      </c>
      <c r="F71" s="103">
        <v>3070</v>
      </c>
      <c r="G71" s="107">
        <f t="shared" ref="G71" si="16">+C71-F71</f>
        <v>-26</v>
      </c>
    </row>
    <row r="72" spans="1:10" s="3" customFormat="1" x14ac:dyDescent="0.25">
      <c r="A72" s="104"/>
      <c r="B72" s="52" t="s">
        <v>123</v>
      </c>
      <c r="C72" s="103"/>
      <c r="D72" s="104"/>
      <c r="E72" s="23"/>
      <c r="F72" s="103"/>
      <c r="G72" s="107"/>
    </row>
    <row r="73" spans="1:10" s="3" customFormat="1" ht="17.25" x14ac:dyDescent="0.3">
      <c r="A73" s="199">
        <f>+A71+1</f>
        <v>35</v>
      </c>
      <c r="B73" s="192" t="s">
        <v>163</v>
      </c>
      <c r="C73" s="193">
        <f>+($F$73+$F$74)-(($F$73*0.2)+($F$74*0.2))+573</f>
        <v>4128.2</v>
      </c>
      <c r="D73" s="104">
        <f>+D71+1</f>
        <v>47</v>
      </c>
      <c r="E73" s="63" t="s">
        <v>45</v>
      </c>
      <c r="F73" s="103">
        <v>1626</v>
      </c>
      <c r="G73" s="198">
        <f>+C73-F73-F74</f>
        <v>-315.80000000000018</v>
      </c>
      <c r="H73" s="8" t="s">
        <v>7</v>
      </c>
    </row>
    <row r="74" spans="1:10" s="3" customFormat="1" x14ac:dyDescent="0.25">
      <c r="A74" s="199"/>
      <c r="B74" s="192"/>
      <c r="C74" s="193"/>
      <c r="D74" s="104">
        <f t="shared" ref="D74:D79" si="17">+D73+1</f>
        <v>48</v>
      </c>
      <c r="E74" s="63" t="s">
        <v>64</v>
      </c>
      <c r="F74" s="103">
        <v>2818</v>
      </c>
      <c r="G74" s="198"/>
    </row>
    <row r="75" spans="1:10" s="3" customFormat="1" ht="31.5" x14ac:dyDescent="0.25">
      <c r="A75" s="101"/>
      <c r="B75" s="37"/>
      <c r="C75" s="103">
        <v>0</v>
      </c>
      <c r="D75" s="104">
        <f t="shared" si="17"/>
        <v>49</v>
      </c>
      <c r="E75" s="63" t="s">
        <v>77</v>
      </c>
      <c r="F75" s="103">
        <v>1593</v>
      </c>
      <c r="G75" s="107">
        <f t="shared" ref="G75" si="18">+C75-F75</f>
        <v>-1593</v>
      </c>
    </row>
    <row r="76" spans="1:10" s="3" customFormat="1" x14ac:dyDescent="0.25">
      <c r="A76" s="191">
        <f>+A73+1</f>
        <v>36</v>
      </c>
      <c r="B76" s="192" t="s">
        <v>165</v>
      </c>
      <c r="C76" s="193">
        <f>+($F$76+$F$77)-(($F$76*0.2)+($F$77*0.2))+28</f>
        <v>531.20000000000005</v>
      </c>
      <c r="D76" s="104">
        <f t="shared" si="17"/>
        <v>50</v>
      </c>
      <c r="E76" s="70" t="s">
        <v>164</v>
      </c>
      <c r="F76" s="103">
        <v>413</v>
      </c>
      <c r="G76" s="198">
        <f>+C76-F76-F77</f>
        <v>-97.799999999999955</v>
      </c>
    </row>
    <row r="77" spans="1:10" s="3" customFormat="1" x14ac:dyDescent="0.25">
      <c r="A77" s="191"/>
      <c r="B77" s="192"/>
      <c r="C77" s="193"/>
      <c r="D77" s="104">
        <f t="shared" si="17"/>
        <v>51</v>
      </c>
      <c r="E77" s="70" t="s">
        <v>166</v>
      </c>
      <c r="F77" s="103">
        <v>216</v>
      </c>
      <c r="G77" s="198"/>
    </row>
    <row r="78" spans="1:10" s="3" customFormat="1" ht="17.25" x14ac:dyDescent="0.25">
      <c r="A78" s="101"/>
      <c r="B78" s="37"/>
      <c r="C78" s="103">
        <v>0</v>
      </c>
      <c r="D78" s="104">
        <f t="shared" si="17"/>
        <v>52</v>
      </c>
      <c r="E78" s="63" t="s">
        <v>51</v>
      </c>
      <c r="F78" s="103">
        <v>31</v>
      </c>
      <c r="G78" s="107">
        <f t="shared" ref="G78:G79" si="19">+C78-F78</f>
        <v>-31</v>
      </c>
    </row>
    <row r="79" spans="1:10" s="3" customFormat="1" ht="31.5" x14ac:dyDescent="0.25">
      <c r="A79" s="101"/>
      <c r="B79" s="37"/>
      <c r="C79" s="103">
        <v>0</v>
      </c>
      <c r="D79" s="104">
        <f t="shared" si="17"/>
        <v>53</v>
      </c>
      <c r="E79" s="63" t="s">
        <v>56</v>
      </c>
      <c r="F79" s="103">
        <v>57</v>
      </c>
      <c r="G79" s="107">
        <f t="shared" si="19"/>
        <v>-57</v>
      </c>
    </row>
    <row r="80" spans="1:10" s="2" customFormat="1" ht="6.75" customHeight="1" x14ac:dyDescent="0.25">
      <c r="A80" s="83"/>
      <c r="B80" s="78"/>
      <c r="C80" s="97"/>
      <c r="D80" s="73"/>
      <c r="E80" s="74"/>
      <c r="F80" s="97"/>
      <c r="G80" s="79"/>
    </row>
    <row r="81" spans="1:7" s="3" customFormat="1" ht="31.5" x14ac:dyDescent="0.25">
      <c r="A81" s="101">
        <f>+A76+1</f>
        <v>37</v>
      </c>
      <c r="B81" s="105" t="s">
        <v>175</v>
      </c>
      <c r="C81" s="103">
        <f>+$F$81-($F$81*0.2)</f>
        <v>187.2</v>
      </c>
      <c r="D81" s="104">
        <f>+D79+1</f>
        <v>54</v>
      </c>
      <c r="E81" s="23" t="s">
        <v>176</v>
      </c>
      <c r="F81" s="103">
        <v>234</v>
      </c>
      <c r="G81" s="107">
        <f t="shared" ref="G81" si="20">+C81-F81</f>
        <v>-46.800000000000011</v>
      </c>
    </row>
    <row r="82" spans="1:7" s="3" customFormat="1" x14ac:dyDescent="0.25">
      <c r="A82" s="104"/>
      <c r="B82" s="52" t="s">
        <v>123</v>
      </c>
      <c r="C82" s="103"/>
      <c r="D82" s="104"/>
      <c r="E82" s="23"/>
      <c r="F82" s="103"/>
      <c r="G82" s="107"/>
    </row>
    <row r="83" spans="1:7" s="3" customFormat="1" ht="31.5" x14ac:dyDescent="0.25">
      <c r="A83" s="101">
        <f>+A81+1</f>
        <v>38</v>
      </c>
      <c r="B83" s="102" t="s">
        <v>167</v>
      </c>
      <c r="C83" s="103">
        <v>31</v>
      </c>
      <c r="D83" s="104">
        <f>+D81+1</f>
        <v>55</v>
      </c>
      <c r="E83" s="23" t="s">
        <v>168</v>
      </c>
      <c r="F83" s="103">
        <v>31</v>
      </c>
      <c r="G83" s="107">
        <f t="shared" ref="G83:G84" si="21">+C83-F83</f>
        <v>0</v>
      </c>
    </row>
    <row r="84" spans="1:7" s="3" customFormat="1" ht="31.5" x14ac:dyDescent="0.25">
      <c r="A84" s="101">
        <f>+A83+1</f>
        <v>39</v>
      </c>
      <c r="B84" s="102" t="s">
        <v>169</v>
      </c>
      <c r="C84" s="103">
        <f>+$F$84-($F$84*0.15)</f>
        <v>164.9</v>
      </c>
      <c r="D84" s="104">
        <f>+D83+1</f>
        <v>56</v>
      </c>
      <c r="E84" s="63" t="s">
        <v>85</v>
      </c>
      <c r="F84" s="103">
        <v>194</v>
      </c>
      <c r="G84" s="107">
        <f t="shared" si="21"/>
        <v>-29.099999999999994</v>
      </c>
    </row>
    <row r="85" spans="1:7" s="2" customFormat="1" ht="6.75" customHeight="1" x14ac:dyDescent="0.25">
      <c r="A85" s="83"/>
      <c r="B85" s="78"/>
      <c r="C85" s="97"/>
      <c r="D85" s="73"/>
      <c r="E85" s="74"/>
      <c r="F85" s="97"/>
      <c r="G85" s="79"/>
    </row>
    <row r="86" spans="1:7" s="61" customFormat="1" x14ac:dyDescent="0.25">
      <c r="A86" s="101">
        <f>+A84+1</f>
        <v>40</v>
      </c>
      <c r="B86" s="54" t="s">
        <v>28</v>
      </c>
      <c r="C86" s="103">
        <f>+$F$86-($F$86*0.2)</f>
        <v>3977.6</v>
      </c>
      <c r="D86" s="104">
        <f>+D84+1</f>
        <v>57</v>
      </c>
      <c r="E86" s="54" t="s">
        <v>28</v>
      </c>
      <c r="F86" s="103">
        <v>4972</v>
      </c>
      <c r="G86" s="107">
        <f t="shared" ref="G86:G88" si="22">+C86-F86</f>
        <v>-994.40000000000009</v>
      </c>
    </row>
    <row r="87" spans="1:7" s="3" customFormat="1" x14ac:dyDescent="0.25">
      <c r="A87" s="101">
        <f>+A86+1</f>
        <v>41</v>
      </c>
      <c r="B87" s="102" t="s">
        <v>69</v>
      </c>
      <c r="C87" s="103">
        <v>70</v>
      </c>
      <c r="D87" s="104">
        <f>+D86+1</f>
        <v>58</v>
      </c>
      <c r="E87" s="63" t="s">
        <v>69</v>
      </c>
      <c r="F87" s="103">
        <v>70</v>
      </c>
      <c r="G87" s="107">
        <f t="shared" si="22"/>
        <v>0</v>
      </c>
    </row>
    <row r="88" spans="1:7" s="3" customFormat="1" x14ac:dyDescent="0.25">
      <c r="A88" s="101">
        <f>+A87+1</f>
        <v>42</v>
      </c>
      <c r="B88" s="102" t="s">
        <v>170</v>
      </c>
      <c r="C88" s="103">
        <v>55</v>
      </c>
      <c r="D88" s="104">
        <f>+D87+1</f>
        <v>59</v>
      </c>
      <c r="E88" s="63" t="s">
        <v>91</v>
      </c>
      <c r="F88" s="103">
        <v>55</v>
      </c>
      <c r="G88" s="107">
        <f t="shared" si="22"/>
        <v>0</v>
      </c>
    </row>
    <row r="89" spans="1:7" s="2" customFormat="1" ht="6.75" customHeight="1" x14ac:dyDescent="0.25">
      <c r="A89" s="83"/>
      <c r="B89" s="78"/>
      <c r="C89" s="97"/>
      <c r="D89" s="73"/>
      <c r="E89" s="74"/>
      <c r="F89" s="97"/>
      <c r="G89" s="79"/>
    </row>
    <row r="90" spans="1:7" s="61" customFormat="1" x14ac:dyDescent="0.25">
      <c r="A90" s="101">
        <f>+A88+1</f>
        <v>43</v>
      </c>
      <c r="B90" s="54" t="s">
        <v>20</v>
      </c>
      <c r="C90" s="103">
        <f>+$F$90</f>
        <v>911</v>
      </c>
      <c r="D90" s="104">
        <f>+D88+1</f>
        <v>60</v>
      </c>
      <c r="E90" s="54" t="s">
        <v>20</v>
      </c>
      <c r="F90" s="103">
        <v>911</v>
      </c>
      <c r="G90" s="107">
        <f t="shared" ref="G90" si="23">+C90-F90</f>
        <v>0</v>
      </c>
    </row>
    <row r="91" spans="1:7" s="3" customFormat="1" x14ac:dyDescent="0.25">
      <c r="A91" s="104"/>
      <c r="B91" s="52" t="s">
        <v>123</v>
      </c>
      <c r="C91" s="103"/>
      <c r="D91" s="104"/>
      <c r="E91" s="52" t="s">
        <v>123</v>
      </c>
      <c r="F91" s="103"/>
      <c r="G91" s="107"/>
    </row>
    <row r="92" spans="1:7" s="3" customFormat="1" x14ac:dyDescent="0.25">
      <c r="A92" s="101">
        <f>+A90+1</f>
        <v>44</v>
      </c>
      <c r="B92" s="62" t="s">
        <v>171</v>
      </c>
      <c r="C92" s="103">
        <f>+$F$92-($F$92*0.2)</f>
        <v>374.4</v>
      </c>
      <c r="D92" s="104">
        <f>+D90+1</f>
        <v>61</v>
      </c>
      <c r="E92" s="62" t="s">
        <v>171</v>
      </c>
      <c r="F92" s="103">
        <v>468</v>
      </c>
      <c r="G92" s="107">
        <f t="shared" ref="G92:G95" si="24">+C92-F92</f>
        <v>-93.600000000000023</v>
      </c>
    </row>
    <row r="93" spans="1:7" s="3" customFormat="1" x14ac:dyDescent="0.25">
      <c r="A93" s="101">
        <f>+A92+1</f>
        <v>45</v>
      </c>
      <c r="B93" s="62" t="s">
        <v>172</v>
      </c>
      <c r="C93" s="103">
        <v>51</v>
      </c>
      <c r="D93" s="104">
        <f>+D92+1</f>
        <v>62</v>
      </c>
      <c r="E93" s="62" t="s">
        <v>172</v>
      </c>
      <c r="F93" s="103">
        <v>51</v>
      </c>
      <c r="G93" s="107">
        <f t="shared" si="24"/>
        <v>0</v>
      </c>
    </row>
    <row r="94" spans="1:7" s="3" customFormat="1" ht="31.5" x14ac:dyDescent="0.25">
      <c r="A94" s="101">
        <f t="shared" ref="A94:A95" si="25">+A93+1</f>
        <v>46</v>
      </c>
      <c r="B94" s="62" t="s">
        <v>173</v>
      </c>
      <c r="C94" s="103">
        <v>20</v>
      </c>
      <c r="D94" s="104">
        <f t="shared" ref="D94:D95" si="26">+D93+1</f>
        <v>63</v>
      </c>
      <c r="E94" s="62" t="s">
        <v>173</v>
      </c>
      <c r="F94" s="103">
        <v>20</v>
      </c>
      <c r="G94" s="107">
        <f t="shared" si="24"/>
        <v>0</v>
      </c>
    </row>
    <row r="95" spans="1:7" s="3" customFormat="1" x14ac:dyDescent="0.25">
      <c r="A95" s="101">
        <f t="shared" si="25"/>
        <v>47</v>
      </c>
      <c r="B95" s="62" t="s">
        <v>174</v>
      </c>
      <c r="C95" s="103">
        <v>63</v>
      </c>
      <c r="D95" s="104">
        <f t="shared" si="26"/>
        <v>64</v>
      </c>
      <c r="E95" s="62" t="s">
        <v>174</v>
      </c>
      <c r="F95" s="103">
        <v>63</v>
      </c>
      <c r="G95" s="107">
        <f t="shared" si="24"/>
        <v>0</v>
      </c>
    </row>
    <row r="96" spans="1:7" s="2" customFormat="1" ht="6.75" customHeight="1" x14ac:dyDescent="0.25">
      <c r="A96" s="83"/>
      <c r="B96" s="78"/>
      <c r="C96" s="97"/>
      <c r="D96" s="73"/>
      <c r="E96" s="74"/>
      <c r="F96" s="97"/>
      <c r="G96" s="79"/>
    </row>
    <row r="97" spans="1:7" s="61" customFormat="1" x14ac:dyDescent="0.25">
      <c r="A97" s="101">
        <f>+A95+1</f>
        <v>48</v>
      </c>
      <c r="B97" s="54" t="s">
        <v>29</v>
      </c>
      <c r="C97" s="103">
        <f>+$F$97-($F$97*0.2)+188</f>
        <v>903.2</v>
      </c>
      <c r="D97" s="104">
        <f>+D95+1</f>
        <v>65</v>
      </c>
      <c r="E97" s="54" t="s">
        <v>29</v>
      </c>
      <c r="F97" s="103">
        <v>894</v>
      </c>
      <c r="G97" s="107">
        <f t="shared" ref="G97" si="27">+C97-F97</f>
        <v>9.2000000000000455</v>
      </c>
    </row>
    <row r="98" spans="1:7" s="3" customFormat="1" x14ac:dyDescent="0.25">
      <c r="A98" s="104"/>
      <c r="B98" s="52" t="s">
        <v>123</v>
      </c>
      <c r="C98" s="103"/>
      <c r="D98" s="104"/>
      <c r="E98" s="23"/>
      <c r="F98" s="103"/>
      <c r="G98" s="107"/>
    </row>
    <row r="99" spans="1:7" s="3" customFormat="1" x14ac:dyDescent="0.25">
      <c r="A99" s="101">
        <f>+A97+1</f>
        <v>49</v>
      </c>
      <c r="B99" s="102" t="s">
        <v>74</v>
      </c>
      <c r="C99" s="103">
        <v>90</v>
      </c>
      <c r="D99" s="104">
        <f>+D97+1</f>
        <v>66</v>
      </c>
      <c r="E99" s="63" t="s">
        <v>74</v>
      </c>
      <c r="F99" s="103">
        <v>90</v>
      </c>
      <c r="G99" s="107">
        <f t="shared" ref="G99:G101" si="28">+C99-F99</f>
        <v>0</v>
      </c>
    </row>
    <row r="100" spans="1:7" s="3" customFormat="1" ht="31.5" x14ac:dyDescent="0.25">
      <c r="A100" s="101">
        <f>+A99+1</f>
        <v>50</v>
      </c>
      <c r="B100" s="102" t="s">
        <v>177</v>
      </c>
      <c r="C100" s="103">
        <v>23</v>
      </c>
      <c r="D100" s="104">
        <f>+D99+1</f>
        <v>67</v>
      </c>
      <c r="E100" s="63" t="s">
        <v>50</v>
      </c>
      <c r="F100" s="103">
        <v>23</v>
      </c>
      <c r="G100" s="107">
        <f t="shared" si="28"/>
        <v>0</v>
      </c>
    </row>
    <row r="101" spans="1:7" s="7" customFormat="1" x14ac:dyDescent="0.25">
      <c r="A101" s="101">
        <f>+A100+1</f>
        <v>51</v>
      </c>
      <c r="B101" s="102" t="s">
        <v>178</v>
      </c>
      <c r="C101" s="103">
        <f>+$F$101-($F$101*0.2)</f>
        <v>168</v>
      </c>
      <c r="D101" s="104">
        <f>+D100+1</f>
        <v>68</v>
      </c>
      <c r="E101" s="63" t="s">
        <v>75</v>
      </c>
      <c r="F101" s="103">
        <v>210</v>
      </c>
      <c r="G101" s="107">
        <f t="shared" si="28"/>
        <v>-42</v>
      </c>
    </row>
    <row r="102" spans="1:7" s="2" customFormat="1" ht="6.75" customHeight="1" x14ac:dyDescent="0.25">
      <c r="A102" s="83"/>
      <c r="B102" s="78"/>
      <c r="C102" s="97"/>
      <c r="D102" s="73"/>
      <c r="E102" s="74"/>
      <c r="F102" s="97"/>
      <c r="G102" s="79"/>
    </row>
    <row r="103" spans="1:7" s="86" customFormat="1" x14ac:dyDescent="0.25">
      <c r="A103" s="101">
        <f>+A101+1</f>
        <v>52</v>
      </c>
      <c r="B103" s="54" t="s">
        <v>101</v>
      </c>
      <c r="C103" s="103">
        <v>0</v>
      </c>
      <c r="D103" s="104">
        <f>+D101+1</f>
        <v>69</v>
      </c>
      <c r="E103" s="54" t="s">
        <v>101</v>
      </c>
      <c r="F103" s="103">
        <v>0</v>
      </c>
      <c r="G103" s="107">
        <f t="shared" ref="G103" si="29">+C103-F103</f>
        <v>0</v>
      </c>
    </row>
    <row r="104" spans="1:7" s="7" customFormat="1" x14ac:dyDescent="0.25">
      <c r="A104" s="101"/>
      <c r="B104" s="52" t="s">
        <v>123</v>
      </c>
      <c r="C104" s="103"/>
      <c r="D104" s="104"/>
      <c r="E104" s="23"/>
      <c r="F104" s="103"/>
      <c r="G104" s="98"/>
    </row>
    <row r="105" spans="1:7" s="7" customFormat="1" x14ac:dyDescent="0.25">
      <c r="A105" s="106">
        <f>+A103+1</f>
        <v>53</v>
      </c>
      <c r="B105" s="102" t="s">
        <v>99</v>
      </c>
      <c r="C105" s="103">
        <v>0</v>
      </c>
      <c r="D105" s="104">
        <f>+D103+1</f>
        <v>70</v>
      </c>
      <c r="E105" s="63" t="s">
        <v>99</v>
      </c>
      <c r="F105" s="103">
        <v>0</v>
      </c>
      <c r="G105" s="107">
        <f t="shared" ref="G105" si="30">+C105-F105</f>
        <v>0</v>
      </c>
    </row>
    <row r="106" spans="1:7" s="2" customFormat="1" ht="6.75" customHeight="1" x14ac:dyDescent="0.25">
      <c r="A106" s="83"/>
      <c r="B106" s="78"/>
      <c r="C106" s="97"/>
      <c r="D106" s="73"/>
      <c r="E106" s="74"/>
      <c r="F106" s="97"/>
      <c r="G106" s="79"/>
    </row>
    <row r="107" spans="1:7" s="61" customFormat="1" x14ac:dyDescent="0.25">
      <c r="A107" s="101">
        <f>+A105+1</f>
        <v>54</v>
      </c>
      <c r="B107" s="54" t="s">
        <v>36</v>
      </c>
      <c r="C107" s="103">
        <f>+$F$107-($F$107*0.2)+20</f>
        <v>6250.4</v>
      </c>
      <c r="D107" s="104">
        <f>+D105+1</f>
        <v>71</v>
      </c>
      <c r="E107" s="54" t="s">
        <v>36</v>
      </c>
      <c r="F107" s="103">
        <v>7788</v>
      </c>
      <c r="G107" s="107">
        <f t="shared" ref="G107" si="31">+C107-F107</f>
        <v>-1537.6000000000004</v>
      </c>
    </row>
    <row r="108" spans="1:7" s="3" customFormat="1" x14ac:dyDescent="0.25">
      <c r="A108" s="104"/>
      <c r="B108" s="52"/>
      <c r="C108" s="103"/>
      <c r="D108" s="104"/>
      <c r="E108" s="52" t="s">
        <v>123</v>
      </c>
      <c r="F108" s="103"/>
      <c r="G108" s="107"/>
    </row>
    <row r="109" spans="1:7" s="7" customFormat="1" ht="17.25" x14ac:dyDescent="0.25">
      <c r="A109" s="101"/>
      <c r="B109" s="37"/>
      <c r="C109" s="103">
        <v>0</v>
      </c>
      <c r="D109" s="104">
        <f>+D107+1</f>
        <v>72</v>
      </c>
      <c r="E109" s="87" t="s">
        <v>179</v>
      </c>
      <c r="F109" s="103">
        <v>20</v>
      </c>
      <c r="G109" s="107">
        <f t="shared" ref="G109" si="32">+C109-F109</f>
        <v>-20</v>
      </c>
    </row>
    <row r="110" spans="1:7" s="2" customFormat="1" ht="6.75" customHeight="1" x14ac:dyDescent="0.25">
      <c r="A110" s="83"/>
      <c r="B110" s="78"/>
      <c r="C110" s="97"/>
      <c r="D110" s="73"/>
      <c r="E110" s="74"/>
      <c r="F110" s="97"/>
      <c r="G110" s="79"/>
    </row>
    <row r="111" spans="1:7" s="61" customFormat="1" x14ac:dyDescent="0.25">
      <c r="A111" s="101">
        <f>+A107+1</f>
        <v>55</v>
      </c>
      <c r="B111" s="54" t="s">
        <v>37</v>
      </c>
      <c r="C111" s="103">
        <f>+$F$111</f>
        <v>115</v>
      </c>
      <c r="D111" s="104">
        <f>+D109+1</f>
        <v>73</v>
      </c>
      <c r="E111" s="54" t="s">
        <v>37</v>
      </c>
      <c r="F111" s="103">
        <v>115</v>
      </c>
      <c r="G111" s="107">
        <f t="shared" ref="G111" si="33">+C111-F111</f>
        <v>0</v>
      </c>
    </row>
    <row r="112" spans="1:7" s="61" customFormat="1" x14ac:dyDescent="0.25">
      <c r="A112" s="104"/>
      <c r="B112" s="52" t="s">
        <v>123</v>
      </c>
      <c r="C112" s="103"/>
      <c r="D112" s="104"/>
      <c r="E112" s="52" t="s">
        <v>123</v>
      </c>
      <c r="F112" s="103"/>
      <c r="G112" s="107"/>
    </row>
    <row r="113" spans="1:7" s="3" customFormat="1" ht="17.25" customHeight="1" x14ac:dyDescent="0.25">
      <c r="A113" s="191">
        <f>+A111+1</f>
        <v>56</v>
      </c>
      <c r="B113" s="192" t="s">
        <v>183</v>
      </c>
      <c r="C113" s="193">
        <f>+($F$113+$F$114)-(($F$113*0.2)+($F$114*0.2))</f>
        <v>184.8</v>
      </c>
      <c r="D113" s="104">
        <f>+D111+1</f>
        <v>74</v>
      </c>
      <c r="E113" s="70" t="s">
        <v>181</v>
      </c>
      <c r="F113" s="103">
        <v>198</v>
      </c>
      <c r="G113" s="198">
        <f t="shared" ref="G113:G115" si="34">+C113-F113</f>
        <v>-13.199999999999989</v>
      </c>
    </row>
    <row r="114" spans="1:7" s="3" customFormat="1" x14ac:dyDescent="0.25">
      <c r="A114" s="191"/>
      <c r="B114" s="192"/>
      <c r="C114" s="193"/>
      <c r="D114" s="104">
        <f>+D113+1</f>
        <v>75</v>
      </c>
      <c r="E114" s="70" t="s">
        <v>182</v>
      </c>
      <c r="F114" s="103">
        <v>33</v>
      </c>
      <c r="G114" s="198">
        <f t="shared" si="34"/>
        <v>-33</v>
      </c>
    </row>
    <row r="115" spans="1:7" s="3" customFormat="1" x14ac:dyDescent="0.25">
      <c r="A115" s="101">
        <f>+A113+1</f>
        <v>57</v>
      </c>
      <c r="B115" s="88" t="s">
        <v>184</v>
      </c>
      <c r="C115" s="103">
        <v>48</v>
      </c>
      <c r="D115" s="104">
        <f t="shared" ref="D115" si="35">+D114+1</f>
        <v>76</v>
      </c>
      <c r="E115" s="88" t="s">
        <v>184</v>
      </c>
      <c r="F115" s="103">
        <v>48</v>
      </c>
      <c r="G115" s="107">
        <f t="shared" si="34"/>
        <v>0</v>
      </c>
    </row>
    <row r="116" spans="1:7" s="2" customFormat="1" ht="6.75" customHeight="1" x14ac:dyDescent="0.25">
      <c r="A116" s="83"/>
      <c r="B116" s="78"/>
      <c r="C116" s="97"/>
      <c r="D116" s="73"/>
      <c r="E116" s="74"/>
      <c r="F116" s="97"/>
      <c r="G116" s="79"/>
    </row>
    <row r="117" spans="1:7" s="61" customFormat="1" x14ac:dyDescent="0.25">
      <c r="A117" s="101">
        <f>+A115+1</f>
        <v>58</v>
      </c>
      <c r="B117" s="54" t="s">
        <v>24</v>
      </c>
      <c r="C117" s="103">
        <f>562+110+90</f>
        <v>762</v>
      </c>
      <c r="D117" s="104">
        <f>+D115+1</f>
        <v>77</v>
      </c>
      <c r="E117" s="54" t="s">
        <v>24</v>
      </c>
      <c r="F117" s="103">
        <v>562</v>
      </c>
      <c r="G117" s="107">
        <f t="shared" ref="G117" si="36">+C117-F117</f>
        <v>200</v>
      </c>
    </row>
    <row r="118" spans="1:7" s="3" customFormat="1" x14ac:dyDescent="0.25">
      <c r="A118" s="104"/>
      <c r="B118" s="52" t="s">
        <v>123</v>
      </c>
      <c r="C118" s="103"/>
      <c r="D118" s="104"/>
      <c r="E118" s="52" t="s">
        <v>123</v>
      </c>
      <c r="F118" s="103"/>
      <c r="G118" s="107"/>
    </row>
    <row r="119" spans="1:7" s="3" customFormat="1" x14ac:dyDescent="0.25">
      <c r="A119" s="101">
        <f>+A117+1</f>
        <v>59</v>
      </c>
      <c r="B119" s="88" t="s">
        <v>185</v>
      </c>
      <c r="C119" s="103">
        <v>114</v>
      </c>
      <c r="D119" s="104">
        <f>+D117+1</f>
        <v>78</v>
      </c>
      <c r="E119" s="88" t="s">
        <v>185</v>
      </c>
      <c r="F119" s="103">
        <v>114</v>
      </c>
      <c r="G119" s="107">
        <f t="shared" ref="G119:G121" si="37">+C119-F119</f>
        <v>0</v>
      </c>
    </row>
    <row r="120" spans="1:7" s="3" customFormat="1" ht="17.25" x14ac:dyDescent="0.25">
      <c r="A120" s="101"/>
      <c r="B120" s="37"/>
      <c r="C120" s="103">
        <v>0</v>
      </c>
      <c r="D120" s="104">
        <f>+D119+1</f>
        <v>79</v>
      </c>
      <c r="E120" s="70" t="s">
        <v>186</v>
      </c>
      <c r="F120" s="103">
        <v>110</v>
      </c>
      <c r="G120" s="107">
        <f t="shared" si="37"/>
        <v>-110</v>
      </c>
    </row>
    <row r="121" spans="1:7" s="3" customFormat="1" ht="17.25" x14ac:dyDescent="0.25">
      <c r="A121" s="101"/>
      <c r="B121" s="37"/>
      <c r="C121" s="103">
        <v>0</v>
      </c>
      <c r="D121" s="104">
        <f>+D120+1</f>
        <v>80</v>
      </c>
      <c r="E121" s="70" t="s">
        <v>187</v>
      </c>
      <c r="F121" s="103">
        <v>108</v>
      </c>
      <c r="G121" s="107">
        <f t="shared" si="37"/>
        <v>-108</v>
      </c>
    </row>
    <row r="122" spans="1:7" s="2" customFormat="1" ht="6.75" customHeight="1" x14ac:dyDescent="0.25">
      <c r="A122" s="83"/>
      <c r="B122" s="78"/>
      <c r="C122" s="97"/>
      <c r="D122" s="73"/>
      <c r="E122" s="74"/>
      <c r="F122" s="97"/>
      <c r="G122" s="79"/>
    </row>
    <row r="123" spans="1:7" s="61" customFormat="1" x14ac:dyDescent="0.25">
      <c r="A123" s="101">
        <f>+A119+1</f>
        <v>60</v>
      </c>
      <c r="B123" s="54" t="s">
        <v>6</v>
      </c>
      <c r="C123" s="103">
        <f>+$F$123-($F$123*0.15)</f>
        <v>235.45</v>
      </c>
      <c r="D123" s="104">
        <f>+D121+1</f>
        <v>81</v>
      </c>
      <c r="E123" s="54" t="s">
        <v>6</v>
      </c>
      <c r="F123" s="103">
        <v>277</v>
      </c>
      <c r="G123" s="107">
        <f t="shared" ref="G123" si="38">+C123-F123</f>
        <v>-41.550000000000011</v>
      </c>
    </row>
    <row r="124" spans="1:7" s="2" customFormat="1" ht="6.75" customHeight="1" x14ac:dyDescent="0.25">
      <c r="A124" s="83"/>
      <c r="B124" s="78"/>
      <c r="C124" s="97"/>
      <c r="D124" s="73"/>
      <c r="E124" s="74"/>
      <c r="F124" s="97"/>
      <c r="G124" s="79"/>
    </row>
    <row r="125" spans="1:7" s="86" customFormat="1" x14ac:dyDescent="0.25">
      <c r="A125" s="101">
        <f>+A123+1</f>
        <v>61</v>
      </c>
      <c r="B125" s="54" t="s">
        <v>100</v>
      </c>
      <c r="C125" s="103"/>
      <c r="D125" s="104">
        <f>+D123+1</f>
        <v>82</v>
      </c>
      <c r="E125" s="54" t="s">
        <v>100</v>
      </c>
      <c r="F125" s="103">
        <v>0</v>
      </c>
      <c r="G125" s="98">
        <f t="shared" ref="G125" si="39">+C125-F125</f>
        <v>0</v>
      </c>
    </row>
    <row r="126" spans="1:7" s="2" customFormat="1" ht="6.75" customHeight="1" x14ac:dyDescent="0.25">
      <c r="A126" s="83"/>
      <c r="B126" s="78"/>
      <c r="C126" s="97"/>
      <c r="D126" s="73"/>
      <c r="E126" s="74"/>
      <c r="F126" s="97"/>
      <c r="G126" s="79"/>
    </row>
    <row r="127" spans="1:7" s="86" customFormat="1" x14ac:dyDescent="0.25">
      <c r="A127" s="101">
        <f>+A125+1</f>
        <v>62</v>
      </c>
      <c r="B127" s="54" t="s">
        <v>102</v>
      </c>
      <c r="C127" s="103"/>
      <c r="D127" s="104">
        <f>+D125+1</f>
        <v>83</v>
      </c>
      <c r="E127" s="54" t="s">
        <v>102</v>
      </c>
      <c r="F127" s="103">
        <v>0</v>
      </c>
      <c r="G127" s="98">
        <f t="shared" ref="G127" si="40">+C127-F127</f>
        <v>0</v>
      </c>
    </row>
    <row r="128" spans="1:7" s="86" customFormat="1" x14ac:dyDescent="0.25">
      <c r="A128" s="101"/>
      <c r="B128" s="52" t="s">
        <v>123</v>
      </c>
      <c r="C128" s="103"/>
      <c r="D128" s="104"/>
      <c r="E128" s="52" t="s">
        <v>123</v>
      </c>
      <c r="F128" s="103"/>
      <c r="G128" s="98"/>
    </row>
    <row r="129" spans="1:7" s="86" customFormat="1" x14ac:dyDescent="0.25">
      <c r="A129" s="101">
        <f>+A127+1</f>
        <v>63</v>
      </c>
      <c r="B129" s="54" t="s">
        <v>200</v>
      </c>
      <c r="C129" s="103">
        <v>0</v>
      </c>
      <c r="D129" s="104">
        <f>+D127+1</f>
        <v>84</v>
      </c>
      <c r="E129" s="54" t="s">
        <v>200</v>
      </c>
      <c r="F129" s="103">
        <v>0</v>
      </c>
      <c r="G129" s="107">
        <f t="shared" ref="G129" si="41">+C129-F129</f>
        <v>0</v>
      </c>
    </row>
    <row r="130" spans="1:7" s="2" customFormat="1" ht="6.75" customHeight="1" x14ac:dyDescent="0.25">
      <c r="A130" s="83"/>
      <c r="B130" s="78"/>
      <c r="C130" s="97"/>
      <c r="D130" s="73"/>
      <c r="E130" s="74"/>
      <c r="F130" s="97"/>
      <c r="G130" s="79"/>
    </row>
    <row r="131" spans="1:7" s="61" customFormat="1" ht="31.5" x14ac:dyDescent="0.25">
      <c r="A131" s="101">
        <f>+A129+1</f>
        <v>64</v>
      </c>
      <c r="B131" s="54" t="s">
        <v>188</v>
      </c>
      <c r="C131" s="103">
        <v>413</v>
      </c>
      <c r="D131" s="104">
        <f>+D129+1</f>
        <v>85</v>
      </c>
      <c r="E131" s="54" t="s">
        <v>189</v>
      </c>
      <c r="F131" s="103">
        <v>413</v>
      </c>
      <c r="G131" s="107">
        <f t="shared" ref="G131" si="42">+C131-F131</f>
        <v>0</v>
      </c>
    </row>
    <row r="132" spans="1:7" s="7" customFormat="1" x14ac:dyDescent="0.25">
      <c r="A132" s="101"/>
      <c r="B132" s="52"/>
      <c r="C132" s="103"/>
      <c r="D132" s="104"/>
      <c r="E132" s="52" t="s">
        <v>190</v>
      </c>
      <c r="F132" s="103"/>
      <c r="G132" s="98"/>
    </row>
    <row r="133" spans="1:7" s="3" customFormat="1" ht="17.25" x14ac:dyDescent="0.25">
      <c r="A133" s="101"/>
      <c r="B133" s="37"/>
      <c r="C133" s="103">
        <v>0</v>
      </c>
      <c r="D133" s="104">
        <f>+D131+1</f>
        <v>86</v>
      </c>
      <c r="E133" s="70" t="s">
        <v>191</v>
      </c>
      <c r="F133" s="103">
        <v>32</v>
      </c>
      <c r="G133" s="107">
        <f t="shared" ref="G133" si="43">+C133-F133</f>
        <v>-32</v>
      </c>
    </row>
    <row r="134" spans="1:7" s="2" customFormat="1" ht="6.75" customHeight="1" x14ac:dyDescent="0.25">
      <c r="A134" s="83"/>
      <c r="B134" s="78"/>
      <c r="C134" s="97"/>
      <c r="D134" s="73"/>
      <c r="E134" s="74"/>
      <c r="F134" s="97"/>
      <c r="G134" s="79"/>
    </row>
    <row r="135" spans="1:7" s="61" customFormat="1" x14ac:dyDescent="0.25">
      <c r="A135" s="101">
        <f>+A131+1</f>
        <v>65</v>
      </c>
      <c r="B135" s="54" t="s">
        <v>192</v>
      </c>
      <c r="C135" s="103">
        <v>1885</v>
      </c>
      <c r="D135" s="104">
        <f>+D133+1</f>
        <v>87</v>
      </c>
      <c r="E135" s="54" t="s">
        <v>193</v>
      </c>
      <c r="F135" s="103">
        <v>1885</v>
      </c>
      <c r="G135" s="107">
        <f t="shared" ref="G135" si="44">+C135-F135</f>
        <v>0</v>
      </c>
    </row>
    <row r="136" spans="1:7" s="2" customFormat="1" ht="6.75" customHeight="1" x14ac:dyDescent="0.25">
      <c r="A136" s="83"/>
      <c r="B136" s="78"/>
      <c r="C136" s="97"/>
      <c r="D136" s="73"/>
      <c r="E136" s="74"/>
      <c r="F136" s="97"/>
      <c r="G136" s="79"/>
    </row>
    <row r="137" spans="1:7" s="61" customFormat="1" x14ac:dyDescent="0.25">
      <c r="A137" s="101">
        <f>+A135+1</f>
        <v>66</v>
      </c>
      <c r="B137" s="54" t="s">
        <v>194</v>
      </c>
      <c r="C137" s="103">
        <f>+$F$137-($F$137*0.15)</f>
        <v>275.39999999999998</v>
      </c>
      <c r="D137" s="104">
        <f>+D135+1</f>
        <v>88</v>
      </c>
      <c r="E137" s="54" t="s">
        <v>194</v>
      </c>
      <c r="F137" s="103">
        <v>324</v>
      </c>
      <c r="G137" s="107">
        <f t="shared" ref="G137" si="45">+C137-F137</f>
        <v>-48.600000000000023</v>
      </c>
    </row>
    <row r="138" spans="1:7" s="2" customFormat="1" ht="6.75" customHeight="1" x14ac:dyDescent="0.25">
      <c r="A138" s="83"/>
      <c r="B138" s="78"/>
      <c r="C138" s="97"/>
      <c r="D138" s="73"/>
      <c r="E138" s="74"/>
      <c r="F138" s="97"/>
      <c r="G138" s="79"/>
    </row>
    <row r="139" spans="1:7" s="61" customFormat="1" ht="31.5" x14ac:dyDescent="0.25">
      <c r="A139" s="101"/>
      <c r="B139" s="58"/>
      <c r="C139" s="103">
        <v>0</v>
      </c>
      <c r="D139" s="104">
        <f>+D137+1</f>
        <v>89</v>
      </c>
      <c r="E139" s="63" t="s">
        <v>70</v>
      </c>
      <c r="F139" s="103">
        <v>73</v>
      </c>
      <c r="G139" s="107">
        <f t="shared" ref="G139" si="46">+C139-F139</f>
        <v>-73</v>
      </c>
    </row>
    <row r="140" spans="1:7" s="2" customFormat="1" ht="6.75" customHeight="1" x14ac:dyDescent="0.25">
      <c r="A140" s="83"/>
      <c r="B140" s="78"/>
      <c r="C140" s="97"/>
      <c r="D140" s="73"/>
      <c r="E140" s="74"/>
      <c r="F140" s="97"/>
      <c r="G140" s="79"/>
    </row>
    <row r="141" spans="1:7" s="3" customFormat="1" ht="31.5" x14ac:dyDescent="0.25">
      <c r="A141" s="101"/>
      <c r="B141" s="102"/>
      <c r="C141" s="103">
        <v>0</v>
      </c>
      <c r="D141" s="104">
        <f>+D139+1</f>
        <v>90</v>
      </c>
      <c r="E141" s="63" t="s">
        <v>86</v>
      </c>
      <c r="F141" s="103">
        <v>132</v>
      </c>
      <c r="G141" s="107">
        <f t="shared" ref="G141" si="47">+C141-F141</f>
        <v>-132</v>
      </c>
    </row>
    <row r="142" spans="1:7" s="2" customFormat="1" ht="6.75" customHeight="1" x14ac:dyDescent="0.25">
      <c r="A142" s="83"/>
      <c r="B142" s="78"/>
      <c r="C142" s="97"/>
      <c r="D142" s="73"/>
      <c r="E142" s="74"/>
      <c r="F142" s="97"/>
      <c r="G142" s="79"/>
    </row>
    <row r="143" spans="1:7" s="86" customFormat="1" x14ac:dyDescent="0.25">
      <c r="A143" s="101">
        <f>+A137+1</f>
        <v>67</v>
      </c>
      <c r="B143" s="54" t="s">
        <v>195</v>
      </c>
      <c r="C143" s="103">
        <f>+$F$143</f>
        <v>25</v>
      </c>
      <c r="D143" s="104">
        <f>+D141+1</f>
        <v>91</v>
      </c>
      <c r="E143" s="54" t="s">
        <v>195</v>
      </c>
      <c r="F143" s="103">
        <v>25</v>
      </c>
      <c r="G143" s="107">
        <f t="shared" ref="G143" si="48">+C143-F143</f>
        <v>0</v>
      </c>
    </row>
    <row r="144" spans="1:7" s="2" customFormat="1" ht="6.75" customHeight="1" x14ac:dyDescent="0.25">
      <c r="A144" s="83"/>
      <c r="B144" s="78"/>
      <c r="C144" s="97"/>
      <c r="D144" s="73"/>
      <c r="E144" s="74"/>
      <c r="F144" s="97"/>
      <c r="G144" s="79"/>
    </row>
    <row r="145" spans="1:7" s="61" customFormat="1" x14ac:dyDescent="0.25">
      <c r="A145" s="101">
        <f>+A143+1</f>
        <v>68</v>
      </c>
      <c r="B145" s="54" t="s">
        <v>10</v>
      </c>
      <c r="C145" s="103">
        <f>+$F$145-($F$145*0.15)</f>
        <v>131.75</v>
      </c>
      <c r="D145" s="104">
        <f>+D143+1</f>
        <v>92</v>
      </c>
      <c r="E145" s="54" t="s">
        <v>10</v>
      </c>
      <c r="F145" s="103">
        <v>155</v>
      </c>
      <c r="G145" s="107">
        <f t="shared" ref="G145" si="49">+C145-F145</f>
        <v>-23.25</v>
      </c>
    </row>
    <row r="146" spans="1:7" s="2" customFormat="1" ht="6.75" customHeight="1" x14ac:dyDescent="0.25">
      <c r="A146" s="83"/>
      <c r="B146" s="78"/>
      <c r="C146" s="97"/>
      <c r="D146" s="73"/>
      <c r="E146" s="74"/>
      <c r="F146" s="97"/>
      <c r="G146" s="79"/>
    </row>
    <row r="147" spans="1:7" s="61" customFormat="1" ht="31.5" x14ac:dyDescent="0.25">
      <c r="A147" s="101">
        <f>+A145+1</f>
        <v>69</v>
      </c>
      <c r="B147" s="54" t="s">
        <v>197</v>
      </c>
      <c r="C147" s="103">
        <v>33</v>
      </c>
      <c r="D147" s="104">
        <f>+D145+1</f>
        <v>93</v>
      </c>
      <c r="E147" s="54" t="s">
        <v>196</v>
      </c>
      <c r="F147" s="103">
        <v>33</v>
      </c>
      <c r="G147" s="107">
        <f t="shared" ref="G147" si="50">+C147-F147</f>
        <v>0</v>
      </c>
    </row>
    <row r="148" spans="1:7" s="2" customFormat="1" ht="6.75" customHeight="1" x14ac:dyDescent="0.25">
      <c r="A148" s="83"/>
      <c r="B148" s="78"/>
      <c r="C148" s="97"/>
      <c r="D148" s="73"/>
      <c r="E148" s="74"/>
      <c r="F148" s="97"/>
      <c r="G148" s="79"/>
    </row>
    <row r="149" spans="1:7" s="3" customFormat="1" ht="31.5" x14ac:dyDescent="0.25">
      <c r="A149" s="101">
        <f>+A147+1</f>
        <v>70</v>
      </c>
      <c r="B149" s="54" t="s">
        <v>203</v>
      </c>
      <c r="C149" s="103">
        <v>18</v>
      </c>
      <c r="D149" s="104">
        <f>+D147+1</f>
        <v>94</v>
      </c>
      <c r="E149" s="54" t="s">
        <v>202</v>
      </c>
      <c r="F149" s="103">
        <v>18</v>
      </c>
      <c r="G149" s="107">
        <f t="shared" ref="G149" si="51">+C149-F149</f>
        <v>0</v>
      </c>
    </row>
  </sheetData>
  <mergeCells count="42">
    <mergeCell ref="A2:G2"/>
    <mergeCell ref="B3:D3"/>
    <mergeCell ref="E3:F3"/>
    <mergeCell ref="A4:C4"/>
    <mergeCell ref="D4:F4"/>
    <mergeCell ref="G4:G5"/>
    <mergeCell ref="A16:A17"/>
    <mergeCell ref="B16:B17"/>
    <mergeCell ref="C16:C17"/>
    <mergeCell ref="G16:G17"/>
    <mergeCell ref="A33:A34"/>
    <mergeCell ref="B33:B34"/>
    <mergeCell ref="C33:C34"/>
    <mergeCell ref="G33:G34"/>
    <mergeCell ref="A36:A37"/>
    <mergeCell ref="B36:B37"/>
    <mergeCell ref="C36:C37"/>
    <mergeCell ref="G36:G37"/>
    <mergeCell ref="A39:A41"/>
    <mergeCell ref="B39:B41"/>
    <mergeCell ref="C39:C41"/>
    <mergeCell ref="G39:G41"/>
    <mergeCell ref="A43:A44"/>
    <mergeCell ref="B43:B44"/>
    <mergeCell ref="C43:C44"/>
    <mergeCell ref="G43:G44"/>
    <mergeCell ref="A51:A52"/>
    <mergeCell ref="B51:B52"/>
    <mergeCell ref="C51:C52"/>
    <mergeCell ref="G51:G52"/>
    <mergeCell ref="A113:A114"/>
    <mergeCell ref="B113:B114"/>
    <mergeCell ref="C113:C114"/>
    <mergeCell ref="G113:G114"/>
    <mergeCell ref="A73:A74"/>
    <mergeCell ref="B73:B74"/>
    <mergeCell ref="C73:C74"/>
    <mergeCell ref="G73:G74"/>
    <mergeCell ref="A76:A77"/>
    <mergeCell ref="B76:B77"/>
    <mergeCell ref="C76:C77"/>
    <mergeCell ref="G76:G77"/>
  </mergeCells>
  <printOptions horizontalCentered="1"/>
  <pageMargins left="0.19685039370078741" right="0.19685039370078741" top="0.39370078740157483" bottom="0.19685039370078741" header="0.31496062992125984" footer="0.31496062992125984"/>
  <pageSetup paperSize="12" scale="81" orientation="landscape" r:id="rId1"/>
  <headerFooter differentFirst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9"/>
  <sheetViews>
    <sheetView view="pageBreakPreview" zoomScale="115" zoomScaleNormal="100" zoomScaleSheetLayoutView="115" zoomScalePageLayoutView="85" workbookViewId="0">
      <selection activeCell="B33" sqref="B33:B34"/>
    </sheetView>
  </sheetViews>
  <sheetFormatPr defaultRowHeight="16.5" x14ac:dyDescent="0.25"/>
  <cols>
    <col min="1" max="1" width="4.42578125" style="82" bestFit="1" customWidth="1"/>
    <col min="2" max="2" width="84.7109375" style="5" customWidth="1"/>
    <col min="3" max="3" width="13.42578125" style="5" bestFit="1" customWidth="1"/>
    <col min="4" max="4" width="4.42578125" style="81" bestFit="1" customWidth="1"/>
    <col min="5" max="5" width="84.7109375" style="5" customWidth="1"/>
    <col min="6" max="6" width="13.42578125" style="5" bestFit="1" customWidth="1"/>
    <col min="7" max="7" width="8.5703125" style="5" bestFit="1" customWidth="1"/>
    <col min="8" max="16384" width="9.140625" style="5"/>
  </cols>
  <sheetData>
    <row r="2" spans="1:10" ht="41.25" customHeight="1" x14ac:dyDescent="0.25">
      <c r="A2" s="155" t="s">
        <v>117</v>
      </c>
      <c r="B2" s="155"/>
      <c r="C2" s="155"/>
      <c r="D2" s="155"/>
      <c r="E2" s="155"/>
      <c r="F2" s="155"/>
      <c r="G2" s="155"/>
    </row>
    <row r="3" spans="1:10" x14ac:dyDescent="0.25">
      <c r="B3" s="153" t="s">
        <v>108</v>
      </c>
      <c r="C3" s="154"/>
      <c r="D3" s="154"/>
      <c r="E3" s="153"/>
      <c r="F3" s="154"/>
    </row>
    <row r="4" spans="1:10" s="89" customFormat="1" ht="15.75" x14ac:dyDescent="0.25">
      <c r="A4" s="190" t="s">
        <v>199</v>
      </c>
      <c r="B4" s="190"/>
      <c r="C4" s="190"/>
      <c r="D4" s="190" t="s">
        <v>124</v>
      </c>
      <c r="E4" s="190"/>
      <c r="F4" s="190"/>
      <c r="G4" s="149" t="s">
        <v>120</v>
      </c>
    </row>
    <row r="5" spans="1:10" s="13" customFormat="1" ht="48" customHeight="1" x14ac:dyDescent="0.25">
      <c r="A5" s="109" t="s">
        <v>0</v>
      </c>
      <c r="B5" s="108" t="s">
        <v>1</v>
      </c>
      <c r="C5" s="108" t="s">
        <v>112</v>
      </c>
      <c r="D5" s="109" t="s">
        <v>0</v>
      </c>
      <c r="E5" s="108" t="s">
        <v>1</v>
      </c>
      <c r="F5" s="108" t="s">
        <v>112</v>
      </c>
      <c r="G5" s="149"/>
    </row>
    <row r="6" spans="1:10" s="12" customFormat="1" ht="17.25" x14ac:dyDescent="0.25">
      <c r="A6" s="18"/>
      <c r="B6" s="11"/>
      <c r="C6" s="18">
        <f>SUM(C7:C149)</f>
        <v>81509.46249999998</v>
      </c>
      <c r="D6" s="16"/>
      <c r="E6" s="17" t="s">
        <v>5</v>
      </c>
      <c r="F6" s="18">
        <f>SUM(F7:F149)</f>
        <v>107189.75</v>
      </c>
      <c r="G6" s="92">
        <f>SUM(G7:G149)</f>
        <v>-25680.287499999995</v>
      </c>
    </row>
    <row r="7" spans="1:10" s="61" customFormat="1" x14ac:dyDescent="0.25">
      <c r="A7" s="112">
        <v>1</v>
      </c>
      <c r="B7" s="54" t="s">
        <v>125</v>
      </c>
      <c r="C7" s="111">
        <f>+$F$7-($F$7*0.35)+28+18</f>
        <v>940.40000000000009</v>
      </c>
      <c r="D7" s="112">
        <v>1</v>
      </c>
      <c r="E7" s="54" t="s">
        <v>26</v>
      </c>
      <c r="F7" s="111">
        <v>1376</v>
      </c>
      <c r="G7" s="110">
        <f>+C7-F7</f>
        <v>-435.59999999999991</v>
      </c>
    </row>
    <row r="8" spans="1:10" s="3" customFormat="1" x14ac:dyDescent="0.25">
      <c r="A8" s="112"/>
      <c r="B8" s="52" t="s">
        <v>123</v>
      </c>
      <c r="C8" s="111"/>
      <c r="D8" s="112"/>
      <c r="E8" s="52"/>
      <c r="F8" s="111"/>
      <c r="G8" s="110"/>
    </row>
    <row r="9" spans="1:10" s="3" customFormat="1" x14ac:dyDescent="0.25">
      <c r="A9" s="112">
        <f>+A7+1</f>
        <v>2</v>
      </c>
      <c r="B9" s="62" t="s">
        <v>126</v>
      </c>
      <c r="C9" s="111">
        <f>+$F$9-($F$9*0.35)</f>
        <v>35.75</v>
      </c>
      <c r="D9" s="112">
        <f>+D7+1</f>
        <v>2</v>
      </c>
      <c r="E9" s="62" t="s">
        <v>126</v>
      </c>
      <c r="F9" s="111">
        <v>55</v>
      </c>
      <c r="G9" s="110">
        <f t="shared" ref="G9:G14" si="0">+C9-F9</f>
        <v>-19.25</v>
      </c>
    </row>
    <row r="10" spans="1:10" s="3" customFormat="1" x14ac:dyDescent="0.25">
      <c r="A10" s="112">
        <f>+A9+1</f>
        <v>3</v>
      </c>
      <c r="B10" s="114" t="s">
        <v>127</v>
      </c>
      <c r="C10" s="111">
        <f>+($F$10-($F$10*0.35))/2+27</f>
        <v>179.75</v>
      </c>
      <c r="D10" s="112">
        <f>+D9+1</f>
        <v>3</v>
      </c>
      <c r="E10" s="63" t="s">
        <v>30</v>
      </c>
      <c r="F10" s="111">
        <v>470</v>
      </c>
      <c r="G10" s="110">
        <f t="shared" si="0"/>
        <v>-290.25</v>
      </c>
      <c r="H10" s="33"/>
    </row>
    <row r="11" spans="1:10" s="3" customFormat="1" x14ac:dyDescent="0.25">
      <c r="A11" s="112">
        <f t="shared" ref="A11:A12" si="1">+A10+1</f>
        <v>4</v>
      </c>
      <c r="B11" s="62" t="s">
        <v>128</v>
      </c>
      <c r="C11" s="111">
        <f>+($F$11-($F$11*0.35))</f>
        <v>18.850000000000001</v>
      </c>
      <c r="D11" s="112">
        <f t="shared" ref="D11:D14" si="2">+D10+1</f>
        <v>4</v>
      </c>
      <c r="E11" s="62" t="s">
        <v>128</v>
      </c>
      <c r="F11" s="111">
        <v>29</v>
      </c>
      <c r="G11" s="110">
        <f t="shared" si="0"/>
        <v>-10.149999999999999</v>
      </c>
    </row>
    <row r="12" spans="1:10" s="3" customFormat="1" x14ac:dyDescent="0.25">
      <c r="A12" s="112">
        <f t="shared" si="1"/>
        <v>5</v>
      </c>
      <c r="B12" s="62" t="s">
        <v>129</v>
      </c>
      <c r="C12" s="111">
        <f>+($F$12-($F$12*0.35))</f>
        <v>18.200000000000003</v>
      </c>
      <c r="D12" s="112">
        <f t="shared" si="2"/>
        <v>5</v>
      </c>
      <c r="E12" s="62" t="s">
        <v>129</v>
      </c>
      <c r="F12" s="111">
        <v>28</v>
      </c>
      <c r="G12" s="110">
        <f t="shared" si="0"/>
        <v>-9.7999999999999972</v>
      </c>
    </row>
    <row r="13" spans="1:10" s="7" customFormat="1" ht="17.25" x14ac:dyDescent="0.25">
      <c r="A13" s="113"/>
      <c r="B13" s="37"/>
      <c r="C13" s="111">
        <v>0</v>
      </c>
      <c r="D13" s="112">
        <f t="shared" si="2"/>
        <v>6</v>
      </c>
      <c r="E13" s="70" t="s">
        <v>130</v>
      </c>
      <c r="F13" s="111">
        <v>37</v>
      </c>
      <c r="G13" s="110">
        <f t="shared" si="0"/>
        <v>-37</v>
      </c>
    </row>
    <row r="14" spans="1:10" s="3" customFormat="1" ht="17.25" x14ac:dyDescent="0.25">
      <c r="A14" s="113"/>
      <c r="B14" s="37"/>
      <c r="C14" s="111">
        <v>0</v>
      </c>
      <c r="D14" s="112">
        <f t="shared" si="2"/>
        <v>7</v>
      </c>
      <c r="E14" s="70" t="s">
        <v>198</v>
      </c>
      <c r="F14" s="111">
        <v>31</v>
      </c>
      <c r="G14" s="110">
        <f t="shared" si="0"/>
        <v>-31</v>
      </c>
    </row>
    <row r="15" spans="1:10" s="2" customFormat="1" ht="6.75" customHeight="1" x14ac:dyDescent="0.25">
      <c r="A15" s="83"/>
      <c r="B15" s="78"/>
      <c r="C15" s="97"/>
      <c r="D15" s="73"/>
      <c r="E15" s="74"/>
      <c r="F15" s="97"/>
      <c r="G15" s="79"/>
    </row>
    <row r="16" spans="1:10" s="3" customFormat="1" x14ac:dyDescent="0.25">
      <c r="A16" s="195">
        <f>+A12+1</f>
        <v>6</v>
      </c>
      <c r="B16" s="197" t="s">
        <v>131</v>
      </c>
      <c r="C16" s="193">
        <f>+($F$17+$F$16)-(($F$16*0.35)+($F$17*0.35))-600+17+16</f>
        <v>4241.05</v>
      </c>
      <c r="D16" s="112">
        <f>+D14+1</f>
        <v>8</v>
      </c>
      <c r="E16" s="63" t="s">
        <v>18</v>
      </c>
      <c r="F16" s="111">
        <v>1917</v>
      </c>
      <c r="G16" s="198">
        <f>+C16-F16-F17</f>
        <v>-3155.95</v>
      </c>
      <c r="I16" s="33"/>
      <c r="J16" s="33"/>
    </row>
    <row r="17" spans="1:11" s="3" customFormat="1" x14ac:dyDescent="0.25">
      <c r="A17" s="195"/>
      <c r="B17" s="197"/>
      <c r="C17" s="193"/>
      <c r="D17" s="112">
        <f>+D16+1</f>
        <v>9</v>
      </c>
      <c r="E17" s="63" t="s">
        <v>19</v>
      </c>
      <c r="F17" s="111">
        <v>5480</v>
      </c>
      <c r="G17" s="198"/>
      <c r="I17" s="33"/>
      <c r="K17" s="33"/>
    </row>
    <row r="18" spans="1:11" s="3" customFormat="1" x14ac:dyDescent="0.25">
      <c r="A18" s="112"/>
      <c r="B18" s="52" t="s">
        <v>123</v>
      </c>
      <c r="C18" s="111"/>
      <c r="D18" s="112"/>
      <c r="E18" s="52"/>
      <c r="F18" s="111"/>
      <c r="G18" s="110"/>
      <c r="K18" s="33"/>
    </row>
    <row r="19" spans="1:11" s="3" customFormat="1" x14ac:dyDescent="0.25">
      <c r="A19" s="113">
        <f>+A16+1</f>
        <v>7</v>
      </c>
      <c r="B19" s="114" t="s">
        <v>132</v>
      </c>
      <c r="C19" s="111">
        <f>+$F$19-($F$19*0.35)</f>
        <v>7630.0250000000005</v>
      </c>
      <c r="D19" s="112">
        <f>+D17+1</f>
        <v>10</v>
      </c>
      <c r="E19" s="63" t="s">
        <v>39</v>
      </c>
      <c r="F19" s="111">
        <v>11738.5</v>
      </c>
      <c r="G19" s="110">
        <f t="shared" ref="G19:G32" si="3">+C19-F19</f>
        <v>-4108.4749999999995</v>
      </c>
    </row>
    <row r="20" spans="1:11" s="7" customFormat="1" x14ac:dyDescent="0.25">
      <c r="A20" s="113">
        <f>+A19+1</f>
        <v>8</v>
      </c>
      <c r="B20" s="114" t="s">
        <v>133</v>
      </c>
      <c r="C20" s="111">
        <v>0</v>
      </c>
      <c r="D20" s="112">
        <f>+D19+1</f>
        <v>11</v>
      </c>
      <c r="E20" s="63" t="s">
        <v>98</v>
      </c>
      <c r="F20" s="111">
        <v>0</v>
      </c>
      <c r="G20" s="110">
        <f t="shared" si="3"/>
        <v>0</v>
      </c>
    </row>
    <row r="21" spans="1:11" s="3" customFormat="1" x14ac:dyDescent="0.25">
      <c r="A21" s="113">
        <f t="shared" ref="A21:A27" si="4">+A20+1</f>
        <v>9</v>
      </c>
      <c r="B21" s="114" t="s">
        <v>134</v>
      </c>
      <c r="C21" s="111">
        <v>0</v>
      </c>
      <c r="D21" s="112">
        <f t="shared" ref="D21:D23" si="5">+D20+1</f>
        <v>12</v>
      </c>
      <c r="E21" s="63" t="s">
        <v>49</v>
      </c>
      <c r="F21" s="111">
        <v>0</v>
      </c>
      <c r="G21" s="110">
        <f t="shared" si="3"/>
        <v>0</v>
      </c>
    </row>
    <row r="22" spans="1:11" s="7" customFormat="1" x14ac:dyDescent="0.25">
      <c r="A22" s="113">
        <f t="shared" si="4"/>
        <v>10</v>
      </c>
      <c r="B22" s="114" t="s">
        <v>55</v>
      </c>
      <c r="C22" s="111">
        <f>+$F$22-($F$22*0.35)</f>
        <v>307.45000000000005</v>
      </c>
      <c r="D22" s="112">
        <f t="shared" si="5"/>
        <v>13</v>
      </c>
      <c r="E22" s="63" t="s">
        <v>55</v>
      </c>
      <c r="F22" s="111">
        <v>473</v>
      </c>
      <c r="G22" s="110">
        <f t="shared" si="3"/>
        <v>-165.54999999999995</v>
      </c>
    </row>
    <row r="23" spans="1:11" s="3" customFormat="1" x14ac:dyDescent="0.25">
      <c r="A23" s="113">
        <f t="shared" si="4"/>
        <v>11</v>
      </c>
      <c r="B23" s="114" t="s">
        <v>135</v>
      </c>
      <c r="C23" s="111">
        <f>+$F$23-($F$23*0.35)</f>
        <v>871.65000000000009</v>
      </c>
      <c r="D23" s="112">
        <f t="shared" si="5"/>
        <v>14</v>
      </c>
      <c r="E23" s="63" t="s">
        <v>67</v>
      </c>
      <c r="F23" s="111">
        <v>1341</v>
      </c>
      <c r="G23" s="110">
        <f t="shared" si="3"/>
        <v>-469.34999999999991</v>
      </c>
    </row>
    <row r="24" spans="1:11" s="3" customFormat="1" x14ac:dyDescent="0.25">
      <c r="A24" s="113">
        <f t="shared" si="4"/>
        <v>12</v>
      </c>
      <c r="B24" s="71" t="s">
        <v>138</v>
      </c>
      <c r="C24" s="111"/>
      <c r="D24" s="112"/>
      <c r="E24" s="71" t="s">
        <v>136</v>
      </c>
      <c r="F24" s="111"/>
      <c r="G24" s="110">
        <f t="shared" si="3"/>
        <v>0</v>
      </c>
    </row>
    <row r="25" spans="1:11" s="3" customFormat="1" x14ac:dyDescent="0.25">
      <c r="A25" s="113">
        <f t="shared" si="4"/>
        <v>13</v>
      </c>
      <c r="B25" s="62" t="s">
        <v>137</v>
      </c>
      <c r="C25" s="111">
        <f>+$F$25-($F$25*0.35)</f>
        <v>35.75</v>
      </c>
      <c r="D25" s="112">
        <f>+D23+1</f>
        <v>15</v>
      </c>
      <c r="E25" s="62" t="s">
        <v>137</v>
      </c>
      <c r="F25" s="111">
        <v>55</v>
      </c>
      <c r="G25" s="110">
        <f t="shared" si="3"/>
        <v>-19.25</v>
      </c>
    </row>
    <row r="26" spans="1:11" s="3" customFormat="1" x14ac:dyDescent="0.25">
      <c r="A26" s="113">
        <f t="shared" si="4"/>
        <v>14</v>
      </c>
      <c r="B26" s="71" t="s">
        <v>139</v>
      </c>
      <c r="C26" s="111">
        <f>+$F$26-($F$26*0.35)</f>
        <v>2078.6999999999998</v>
      </c>
      <c r="D26" s="112">
        <f t="shared" ref="D26:D29" si="6">+D25+1</f>
        <v>16</v>
      </c>
      <c r="E26" s="71" t="s">
        <v>139</v>
      </c>
      <c r="F26" s="111">
        <v>3198</v>
      </c>
      <c r="G26" s="110">
        <f t="shared" si="3"/>
        <v>-1119.3000000000002</v>
      </c>
    </row>
    <row r="27" spans="1:11" s="3" customFormat="1" x14ac:dyDescent="0.25">
      <c r="A27" s="113">
        <f t="shared" si="4"/>
        <v>15</v>
      </c>
      <c r="B27" s="71" t="s">
        <v>140</v>
      </c>
      <c r="C27" s="111">
        <f>+$F$27-($F$27*0.35)</f>
        <v>339.95000000000005</v>
      </c>
      <c r="D27" s="112">
        <f t="shared" si="6"/>
        <v>17</v>
      </c>
      <c r="E27" s="71" t="s">
        <v>140</v>
      </c>
      <c r="F27" s="111">
        <v>523</v>
      </c>
      <c r="G27" s="110">
        <f t="shared" si="3"/>
        <v>-183.04999999999995</v>
      </c>
    </row>
    <row r="28" spans="1:11" s="7" customFormat="1" ht="17.25" x14ac:dyDescent="0.25">
      <c r="A28" s="113"/>
      <c r="B28" s="37"/>
      <c r="C28" s="111"/>
      <c r="D28" s="112">
        <f t="shared" si="6"/>
        <v>18</v>
      </c>
      <c r="E28" s="70" t="s">
        <v>141</v>
      </c>
      <c r="F28" s="111">
        <v>26</v>
      </c>
      <c r="G28" s="110">
        <f t="shared" si="3"/>
        <v>-26</v>
      </c>
    </row>
    <row r="29" spans="1:11" s="3" customFormat="1" ht="17.25" x14ac:dyDescent="0.25">
      <c r="A29" s="113"/>
      <c r="B29" s="37"/>
      <c r="C29" s="111"/>
      <c r="D29" s="112">
        <f t="shared" si="6"/>
        <v>19</v>
      </c>
      <c r="E29" s="70" t="s">
        <v>142</v>
      </c>
      <c r="F29" s="111">
        <v>24</v>
      </c>
      <c r="G29" s="110">
        <f t="shared" si="3"/>
        <v>-24</v>
      </c>
      <c r="I29" s="7"/>
    </row>
    <row r="30" spans="1:11" s="2" customFormat="1" ht="6.75" customHeight="1" x14ac:dyDescent="0.25">
      <c r="A30" s="83"/>
      <c r="B30" s="78"/>
      <c r="C30" s="97"/>
      <c r="D30" s="73"/>
      <c r="E30" s="74"/>
      <c r="F30" s="97"/>
      <c r="G30" s="79"/>
    </row>
    <row r="31" spans="1:11" s="3" customFormat="1" x14ac:dyDescent="0.25">
      <c r="A31" s="113">
        <f>+A27+1</f>
        <v>16</v>
      </c>
      <c r="B31" s="115" t="s">
        <v>144</v>
      </c>
      <c r="C31" s="111">
        <f>+$F$31-($F$31*0.35)</f>
        <v>59.150000000000006</v>
      </c>
      <c r="D31" s="112">
        <f>+D29+1</f>
        <v>20</v>
      </c>
      <c r="E31" s="63" t="s">
        <v>143</v>
      </c>
      <c r="F31" s="111">
        <v>91</v>
      </c>
      <c r="G31" s="110">
        <f t="shared" si="3"/>
        <v>-31.849999999999994</v>
      </c>
    </row>
    <row r="32" spans="1:11" s="3" customFormat="1" x14ac:dyDescent="0.25">
      <c r="A32" s="112"/>
      <c r="B32" s="52" t="s">
        <v>123</v>
      </c>
      <c r="C32" s="111"/>
      <c r="D32" s="112"/>
      <c r="E32" s="23"/>
      <c r="F32" s="111"/>
      <c r="G32" s="110">
        <f t="shared" si="3"/>
        <v>0</v>
      </c>
    </row>
    <row r="33" spans="1:12" s="3" customFormat="1" x14ac:dyDescent="0.25">
      <c r="A33" s="191">
        <f>+A31+1</f>
        <v>17</v>
      </c>
      <c r="B33" s="192" t="s">
        <v>206</v>
      </c>
      <c r="C33" s="193">
        <f>+($F$33+$F$34)-($F$34*0.35)</f>
        <v>242.4</v>
      </c>
      <c r="D33" s="112">
        <f>+D31+1</f>
        <v>21</v>
      </c>
      <c r="E33" s="23" t="s">
        <v>146</v>
      </c>
      <c r="F33" s="111">
        <v>89</v>
      </c>
      <c r="G33" s="198">
        <f>+C33-F33-F34</f>
        <v>-82.6</v>
      </c>
    </row>
    <row r="34" spans="1:12" s="3" customFormat="1" x14ac:dyDescent="0.25">
      <c r="A34" s="191"/>
      <c r="B34" s="192"/>
      <c r="C34" s="193"/>
      <c r="D34" s="112">
        <f>+D33+1</f>
        <v>22</v>
      </c>
      <c r="E34" s="63" t="s">
        <v>43</v>
      </c>
      <c r="F34" s="111">
        <v>236</v>
      </c>
      <c r="G34" s="198"/>
    </row>
    <row r="35" spans="1:12" s="2" customFormat="1" ht="6.75" customHeight="1" x14ac:dyDescent="0.25">
      <c r="A35" s="83"/>
      <c r="B35" s="78"/>
      <c r="C35" s="97"/>
      <c r="D35" s="73"/>
      <c r="E35" s="74"/>
      <c r="F35" s="97"/>
      <c r="G35" s="79"/>
    </row>
    <row r="36" spans="1:12" s="3" customFormat="1" x14ac:dyDescent="0.25">
      <c r="A36" s="191">
        <f>+A33+1</f>
        <v>18</v>
      </c>
      <c r="B36" s="197" t="s">
        <v>147</v>
      </c>
      <c r="C36" s="193">
        <f>+($F$36+$F$37)-(($F$36*0.35)+($F$37*0.35))</f>
        <v>1129.0500000000002</v>
      </c>
      <c r="D36" s="112">
        <f>+D34+1</f>
        <v>23</v>
      </c>
      <c r="E36" s="63" t="s">
        <v>25</v>
      </c>
      <c r="F36" s="111">
        <v>819</v>
      </c>
      <c r="G36" s="198">
        <f>+C36-F36-F37</f>
        <v>-607.94999999999982</v>
      </c>
    </row>
    <row r="37" spans="1:12" s="3" customFormat="1" x14ac:dyDescent="0.25">
      <c r="A37" s="195"/>
      <c r="B37" s="197"/>
      <c r="C37" s="193"/>
      <c r="D37" s="112">
        <f>+D36+1</f>
        <v>24</v>
      </c>
      <c r="E37" s="63" t="s">
        <v>32</v>
      </c>
      <c r="F37" s="111">
        <v>918</v>
      </c>
      <c r="G37" s="198"/>
    </row>
    <row r="38" spans="1:12" s="3" customFormat="1" x14ac:dyDescent="0.25">
      <c r="A38" s="112"/>
      <c r="B38" s="52" t="s">
        <v>123</v>
      </c>
      <c r="C38" s="111"/>
      <c r="D38" s="112"/>
      <c r="E38" s="52" t="s">
        <v>153</v>
      </c>
      <c r="F38" s="111"/>
      <c r="G38" s="110"/>
    </row>
    <row r="39" spans="1:12" s="7" customFormat="1" x14ac:dyDescent="0.25">
      <c r="A39" s="191">
        <f>+A36+1</f>
        <v>19</v>
      </c>
      <c r="B39" s="194" t="s">
        <v>151</v>
      </c>
      <c r="C39" s="193">
        <f>+($F$39+$F$40+$F$41)-(($F$39*0.35)+($F$40*0.35)+($F$41*0.35))</f>
        <v>127.4</v>
      </c>
      <c r="D39" s="112">
        <f>+D37+1</f>
        <v>25</v>
      </c>
      <c r="E39" s="70" t="s">
        <v>150</v>
      </c>
      <c r="F39" s="111">
        <v>34</v>
      </c>
      <c r="G39" s="198">
        <f>+C39-F39-F40-F41</f>
        <v>-68.599999999999994</v>
      </c>
    </row>
    <row r="40" spans="1:12" s="3" customFormat="1" x14ac:dyDescent="0.25">
      <c r="A40" s="191"/>
      <c r="B40" s="194"/>
      <c r="C40" s="193"/>
      <c r="D40" s="112">
        <f>+D39+1</f>
        <v>26</v>
      </c>
      <c r="E40" s="70" t="s">
        <v>148</v>
      </c>
      <c r="F40" s="111">
        <v>89</v>
      </c>
      <c r="G40" s="198"/>
    </row>
    <row r="41" spans="1:12" s="3" customFormat="1" x14ac:dyDescent="0.25">
      <c r="A41" s="191"/>
      <c r="B41" s="194"/>
      <c r="C41" s="193"/>
      <c r="D41" s="112">
        <f>+D40+1</f>
        <v>27</v>
      </c>
      <c r="E41" s="70" t="s">
        <v>149</v>
      </c>
      <c r="F41" s="111">
        <v>73</v>
      </c>
      <c r="G41" s="198"/>
    </row>
    <row r="42" spans="1:12" s="2" customFormat="1" ht="6.75" customHeight="1" x14ac:dyDescent="0.25">
      <c r="A42" s="83"/>
      <c r="B42" s="78"/>
      <c r="C42" s="97"/>
      <c r="D42" s="73"/>
      <c r="E42" s="74"/>
      <c r="F42" s="97"/>
      <c r="G42" s="79"/>
    </row>
    <row r="43" spans="1:12" s="3" customFormat="1" x14ac:dyDescent="0.25">
      <c r="A43" s="191">
        <f>+A39+1</f>
        <v>20</v>
      </c>
      <c r="B43" s="196" t="s">
        <v>152</v>
      </c>
      <c r="C43" s="193">
        <f>+($F$43+$F$44)-(($F$43*0.35)-($F$44*0.35))+600+600</f>
        <v>4874.4125000000004</v>
      </c>
      <c r="D43" s="112">
        <f>+D41+1</f>
        <v>28</v>
      </c>
      <c r="E43" s="63" t="s">
        <v>21</v>
      </c>
      <c r="F43" s="111">
        <v>3042.25</v>
      </c>
      <c r="G43" s="198">
        <f>+C43-F43-F44</f>
        <v>575.16250000000036</v>
      </c>
    </row>
    <row r="44" spans="1:12" s="3" customFormat="1" x14ac:dyDescent="0.25">
      <c r="A44" s="195"/>
      <c r="B44" s="196"/>
      <c r="C44" s="193"/>
      <c r="D44" s="112">
        <f>+D43+1</f>
        <v>29</v>
      </c>
      <c r="E44" s="63" t="s">
        <v>38</v>
      </c>
      <c r="F44" s="111">
        <v>1257</v>
      </c>
      <c r="G44" s="198"/>
    </row>
    <row r="45" spans="1:12" s="3" customFormat="1" x14ac:dyDescent="0.25">
      <c r="A45" s="112"/>
      <c r="B45" s="52" t="s">
        <v>123</v>
      </c>
      <c r="C45" s="111"/>
      <c r="D45" s="112"/>
      <c r="E45" s="23"/>
      <c r="F45" s="111"/>
      <c r="G45" s="110"/>
      <c r="H45" s="33"/>
    </row>
    <row r="46" spans="1:12" s="3" customFormat="1" x14ac:dyDescent="0.25">
      <c r="A46" s="113">
        <f>+A43+1</f>
        <v>21</v>
      </c>
      <c r="B46" s="114" t="s">
        <v>46</v>
      </c>
      <c r="C46" s="111">
        <f>+$F$46-76</f>
        <v>9450</v>
      </c>
      <c r="D46" s="112">
        <f>+D44+1</f>
        <v>30</v>
      </c>
      <c r="E46" s="63" t="s">
        <v>46</v>
      </c>
      <c r="F46" s="111">
        <v>9526</v>
      </c>
      <c r="G46" s="110">
        <f t="shared" ref="G46:G49" si="7">+C46-F46</f>
        <v>-76</v>
      </c>
      <c r="I46" s="33"/>
      <c r="K46" s="33"/>
      <c r="L46" s="33"/>
    </row>
    <row r="47" spans="1:12" s="3" customFormat="1" ht="31.5" x14ac:dyDescent="0.25">
      <c r="A47" s="113">
        <f>+A46+1</f>
        <v>22</v>
      </c>
      <c r="B47" s="114" t="s">
        <v>154</v>
      </c>
      <c r="C47" s="111">
        <f>+$F$47-95</f>
        <v>9486</v>
      </c>
      <c r="D47" s="112">
        <f t="shared" ref="D47:D52" si="8">+D46+1</f>
        <v>31</v>
      </c>
      <c r="E47" s="70" t="s">
        <v>57</v>
      </c>
      <c r="F47" s="111">
        <v>9581</v>
      </c>
      <c r="G47" s="110">
        <f t="shared" si="7"/>
        <v>-95</v>
      </c>
      <c r="H47" s="33"/>
      <c r="I47" s="33"/>
      <c r="K47" s="33"/>
    </row>
    <row r="48" spans="1:12" s="3" customFormat="1" ht="31.5" x14ac:dyDescent="0.25">
      <c r="A48" s="113">
        <f>+A47+1</f>
        <v>23</v>
      </c>
      <c r="B48" s="114" t="s">
        <v>155</v>
      </c>
      <c r="C48" s="111">
        <f>+$F$48-($F$48*0.35)</f>
        <v>120.25</v>
      </c>
      <c r="D48" s="112">
        <f t="shared" si="8"/>
        <v>32</v>
      </c>
      <c r="E48" s="70" t="s">
        <v>76</v>
      </c>
      <c r="F48" s="111">
        <v>185</v>
      </c>
      <c r="G48" s="110">
        <f t="shared" si="7"/>
        <v>-64.75</v>
      </c>
    </row>
    <row r="49" spans="1:7" s="3" customFormat="1" ht="17.25" x14ac:dyDescent="0.25">
      <c r="A49" s="113"/>
      <c r="B49" s="37"/>
      <c r="C49" s="111"/>
      <c r="D49" s="112">
        <f t="shared" si="8"/>
        <v>33</v>
      </c>
      <c r="E49" s="63" t="s">
        <v>73</v>
      </c>
      <c r="F49" s="111">
        <v>805</v>
      </c>
      <c r="G49" s="110">
        <f t="shared" si="7"/>
        <v>-805</v>
      </c>
    </row>
    <row r="50" spans="1:7" s="2" customFormat="1" ht="6.75" customHeight="1" x14ac:dyDescent="0.25">
      <c r="A50" s="83"/>
      <c r="B50" s="78"/>
      <c r="C50" s="97"/>
      <c r="D50" s="73"/>
      <c r="E50" s="74"/>
      <c r="F50" s="97"/>
      <c r="G50" s="79"/>
    </row>
    <row r="51" spans="1:7" s="3" customFormat="1" x14ac:dyDescent="0.25">
      <c r="A51" s="191">
        <f>+A48+1</f>
        <v>24</v>
      </c>
      <c r="B51" s="196" t="s">
        <v>156</v>
      </c>
      <c r="C51" s="193">
        <f>+($F$51+$F$52)-(($F$51*0.35)+($F$52*0.35))+36</f>
        <v>363.6</v>
      </c>
      <c r="D51" s="112">
        <f>+D49+1</f>
        <v>34</v>
      </c>
      <c r="E51" s="63" t="s">
        <v>34</v>
      </c>
      <c r="F51" s="111">
        <v>166</v>
      </c>
      <c r="G51" s="198">
        <f>+C51-F51-F52</f>
        <v>-140.39999999999998</v>
      </c>
    </row>
    <row r="52" spans="1:7" s="3" customFormat="1" x14ac:dyDescent="0.25">
      <c r="A52" s="195"/>
      <c r="B52" s="196"/>
      <c r="C52" s="193"/>
      <c r="D52" s="112">
        <f t="shared" si="8"/>
        <v>35</v>
      </c>
      <c r="E52" s="63" t="s">
        <v>22</v>
      </c>
      <c r="F52" s="111">
        <v>338</v>
      </c>
      <c r="G52" s="198"/>
    </row>
    <row r="53" spans="1:7" s="3" customFormat="1" x14ac:dyDescent="0.25">
      <c r="A53" s="112"/>
      <c r="B53" s="52" t="s">
        <v>123</v>
      </c>
      <c r="C53" s="111"/>
      <c r="D53" s="112"/>
      <c r="E53" s="23"/>
      <c r="F53" s="111"/>
      <c r="G53" s="110"/>
    </row>
    <row r="54" spans="1:7" s="3" customFormat="1" x14ac:dyDescent="0.25">
      <c r="A54" s="113">
        <f>+A51+1</f>
        <v>25</v>
      </c>
      <c r="B54" s="114" t="s">
        <v>204</v>
      </c>
      <c r="C54" s="111">
        <f>+$F$54-($F$54*0.35)</f>
        <v>10.4</v>
      </c>
      <c r="D54" s="112">
        <f>+D52+1</f>
        <v>36</v>
      </c>
      <c r="E54" s="63" t="s">
        <v>94</v>
      </c>
      <c r="F54" s="111">
        <v>16</v>
      </c>
      <c r="G54" s="110">
        <f t="shared" ref="G54" si="9">+C54-F54</f>
        <v>-5.6</v>
      </c>
    </row>
    <row r="55" spans="1:7" s="3" customFormat="1" x14ac:dyDescent="0.25">
      <c r="A55" s="113">
        <f>+A54+1</f>
        <v>26</v>
      </c>
      <c r="B55" s="114" t="s">
        <v>157</v>
      </c>
      <c r="C55" s="111">
        <f>+$F$55-($F$55*0.35)</f>
        <v>85.800000000000011</v>
      </c>
      <c r="D55" s="112">
        <f>+D54+1</f>
        <v>37</v>
      </c>
      <c r="E55" s="63" t="s">
        <v>9</v>
      </c>
      <c r="F55" s="111">
        <v>132</v>
      </c>
      <c r="G55" s="110">
        <f t="shared" ref="G55:G56" si="10">+C55-F55</f>
        <v>-46.199999999999989</v>
      </c>
    </row>
    <row r="56" spans="1:7" s="3" customFormat="1" x14ac:dyDescent="0.25">
      <c r="A56" s="113">
        <f>+A55+1</f>
        <v>27</v>
      </c>
      <c r="B56" s="114" t="s">
        <v>158</v>
      </c>
      <c r="C56" s="111">
        <f>+$F$56-($F$56*0.35)</f>
        <v>102.7</v>
      </c>
      <c r="D56" s="112">
        <f>+D55+1</f>
        <v>38</v>
      </c>
      <c r="E56" s="63" t="s">
        <v>90</v>
      </c>
      <c r="F56" s="111">
        <v>158</v>
      </c>
      <c r="G56" s="110">
        <f t="shared" si="10"/>
        <v>-55.3</v>
      </c>
    </row>
    <row r="57" spans="1:7" s="2" customFormat="1" ht="6.75" customHeight="1" x14ac:dyDescent="0.25">
      <c r="A57" s="83"/>
      <c r="B57" s="78"/>
      <c r="C57" s="97"/>
      <c r="D57" s="73"/>
      <c r="E57" s="74"/>
      <c r="F57" s="97"/>
      <c r="G57" s="79"/>
    </row>
    <row r="58" spans="1:7" s="61" customFormat="1" x14ac:dyDescent="0.25">
      <c r="A58" s="113">
        <f>+A56+1</f>
        <v>28</v>
      </c>
      <c r="B58" s="54" t="s">
        <v>23</v>
      </c>
      <c r="C58" s="111">
        <f>+$F$58-($F$58*0.35)+36</f>
        <v>3193.375</v>
      </c>
      <c r="D58" s="112">
        <f>+D56+1</f>
        <v>39</v>
      </c>
      <c r="E58" s="54" t="s">
        <v>23</v>
      </c>
      <c r="F58" s="111">
        <v>4857.5</v>
      </c>
      <c r="G58" s="110">
        <f t="shared" ref="G58" si="11">+C58-F58</f>
        <v>-1664.125</v>
      </c>
    </row>
    <row r="59" spans="1:7" s="3" customFormat="1" x14ac:dyDescent="0.25">
      <c r="A59" s="112"/>
      <c r="B59" s="52" t="s">
        <v>123</v>
      </c>
      <c r="C59" s="111"/>
      <c r="D59" s="112"/>
      <c r="E59" s="23"/>
      <c r="F59" s="111"/>
      <c r="G59" s="110"/>
    </row>
    <row r="60" spans="1:7" s="3" customFormat="1" x14ac:dyDescent="0.25">
      <c r="A60" s="113">
        <f>+A58+1</f>
        <v>29</v>
      </c>
      <c r="B60" s="114" t="s">
        <v>159</v>
      </c>
      <c r="C60" s="111">
        <f>+$F$60</f>
        <v>2446.5</v>
      </c>
      <c r="D60" s="112">
        <f>+D58+1</f>
        <v>40</v>
      </c>
      <c r="E60" s="63" t="s">
        <v>33</v>
      </c>
      <c r="F60" s="111">
        <v>2446.5</v>
      </c>
      <c r="G60" s="110">
        <f t="shared" ref="G60" si="12">+C60-F60</f>
        <v>0</v>
      </c>
    </row>
    <row r="61" spans="1:7" s="2" customFormat="1" ht="6.75" customHeight="1" x14ac:dyDescent="0.25">
      <c r="A61" s="83"/>
      <c r="B61" s="78"/>
      <c r="C61" s="97"/>
      <c r="D61" s="73"/>
      <c r="E61" s="74"/>
      <c r="F61" s="97"/>
      <c r="G61" s="79"/>
    </row>
    <row r="62" spans="1:7" s="3" customFormat="1" x14ac:dyDescent="0.25">
      <c r="A62" s="113">
        <f>+A60+1</f>
        <v>30</v>
      </c>
      <c r="B62" s="115" t="s">
        <v>160</v>
      </c>
      <c r="C62" s="111">
        <f>+$F$62-($F$62*0.35)</f>
        <v>1097.8499999999999</v>
      </c>
      <c r="D62" s="112">
        <f>+D60+1</f>
        <v>41</v>
      </c>
      <c r="E62" s="63" t="s">
        <v>41</v>
      </c>
      <c r="F62" s="111">
        <v>1689</v>
      </c>
      <c r="G62" s="110">
        <f t="shared" ref="G62" si="13">+C62-F62</f>
        <v>-591.15000000000009</v>
      </c>
    </row>
    <row r="63" spans="1:7" s="3" customFormat="1" x14ac:dyDescent="0.25">
      <c r="A63" s="113"/>
      <c r="B63" s="52" t="s">
        <v>123</v>
      </c>
      <c r="C63" s="111"/>
      <c r="D63" s="112"/>
      <c r="E63" s="23"/>
      <c r="F63" s="111"/>
      <c r="G63" s="110"/>
    </row>
    <row r="64" spans="1:7" s="3" customFormat="1" x14ac:dyDescent="0.25">
      <c r="A64" s="113">
        <f>+A62+1</f>
        <v>31</v>
      </c>
      <c r="B64" s="114" t="s">
        <v>161</v>
      </c>
      <c r="C64" s="111">
        <f>+$F$64</f>
        <v>154</v>
      </c>
      <c r="D64" s="112">
        <f>+D62+1</f>
        <v>42</v>
      </c>
      <c r="E64" s="63" t="s">
        <v>44</v>
      </c>
      <c r="F64" s="111">
        <v>154</v>
      </c>
      <c r="G64" s="110">
        <f t="shared" ref="G64:G65" si="14">+C64-F64</f>
        <v>0</v>
      </c>
    </row>
    <row r="65" spans="1:10" s="3" customFormat="1" x14ac:dyDescent="0.25">
      <c r="A65" s="113">
        <f>+A64+1</f>
        <v>32</v>
      </c>
      <c r="B65" s="114" t="s">
        <v>162</v>
      </c>
      <c r="C65" s="111">
        <f>+$F$65-($F$65*0.35)</f>
        <v>1159.5999999999999</v>
      </c>
      <c r="D65" s="112">
        <f>+D64+1</f>
        <v>43</v>
      </c>
      <c r="E65" s="63" t="s">
        <v>89</v>
      </c>
      <c r="F65" s="111">
        <v>1784</v>
      </c>
      <c r="G65" s="110">
        <f t="shared" si="14"/>
        <v>-624.40000000000009</v>
      </c>
    </row>
    <row r="66" spans="1:10" s="2" customFormat="1" ht="6.75" customHeight="1" x14ac:dyDescent="0.25">
      <c r="A66" s="83"/>
      <c r="B66" s="78"/>
      <c r="C66" s="97"/>
      <c r="D66" s="73"/>
      <c r="E66" s="74"/>
      <c r="F66" s="97"/>
      <c r="G66" s="79"/>
    </row>
    <row r="67" spans="1:10" s="61" customFormat="1" x14ac:dyDescent="0.25">
      <c r="A67" s="113">
        <f>+A65+1</f>
        <v>33</v>
      </c>
      <c r="B67" s="54" t="s">
        <v>180</v>
      </c>
      <c r="C67" s="111">
        <v>436</v>
      </c>
      <c r="D67" s="112">
        <f>+D65+1</f>
        <v>44</v>
      </c>
      <c r="E67" s="54" t="s">
        <v>31</v>
      </c>
      <c r="F67" s="111">
        <v>670</v>
      </c>
      <c r="G67" s="110">
        <f t="shared" ref="G67" si="15">+C67-F67</f>
        <v>-234</v>
      </c>
      <c r="J67" s="60"/>
    </row>
    <row r="68" spans="1:10" s="3" customFormat="1" x14ac:dyDescent="0.25">
      <c r="A68" s="113"/>
      <c r="B68" s="52" t="s">
        <v>123</v>
      </c>
      <c r="C68" s="111"/>
      <c r="D68" s="112"/>
      <c r="E68" s="23"/>
      <c r="F68" s="111"/>
      <c r="G68" s="110"/>
    </row>
    <row r="69" spans="1:10" s="3" customFormat="1" x14ac:dyDescent="0.25">
      <c r="A69" s="113">
        <f>+A67+1</f>
        <v>34</v>
      </c>
      <c r="B69" s="114" t="s">
        <v>71</v>
      </c>
      <c r="C69" s="111">
        <f>+$F$69-473</f>
        <v>10186</v>
      </c>
      <c r="D69" s="112">
        <f>+D67+1</f>
        <v>45</v>
      </c>
      <c r="E69" s="63" t="s">
        <v>71</v>
      </c>
      <c r="F69" s="111">
        <v>10659</v>
      </c>
      <c r="G69" s="110">
        <f t="shared" ref="G69" si="16">+C69-F69</f>
        <v>-473</v>
      </c>
      <c r="H69" s="33"/>
      <c r="I69" s="33"/>
    </row>
    <row r="70" spans="1:10" s="2" customFormat="1" ht="6.75" customHeight="1" x14ac:dyDescent="0.25">
      <c r="A70" s="83"/>
      <c r="B70" s="78"/>
      <c r="C70" s="97"/>
      <c r="D70" s="73"/>
      <c r="E70" s="74"/>
      <c r="F70" s="97"/>
      <c r="G70" s="79"/>
    </row>
    <row r="71" spans="1:10" s="61" customFormat="1" x14ac:dyDescent="0.25">
      <c r="A71" s="113">
        <f>+A69+1</f>
        <v>35</v>
      </c>
      <c r="B71" s="54" t="s">
        <v>35</v>
      </c>
      <c r="C71" s="111">
        <f>+$F$71-($F$71*0.35)+518</f>
        <v>2513.5</v>
      </c>
      <c r="D71" s="112">
        <f>+D69+1</f>
        <v>46</v>
      </c>
      <c r="E71" s="54" t="s">
        <v>35</v>
      </c>
      <c r="F71" s="111">
        <v>3070</v>
      </c>
      <c r="G71" s="110">
        <f t="shared" ref="G71:G74" si="17">+C71-F71</f>
        <v>-556.5</v>
      </c>
    </row>
    <row r="72" spans="1:10" s="3" customFormat="1" x14ac:dyDescent="0.25">
      <c r="A72" s="112"/>
      <c r="B72" s="52" t="s">
        <v>123</v>
      </c>
      <c r="C72" s="111"/>
      <c r="D72" s="112"/>
      <c r="E72" s="23"/>
      <c r="F72" s="111"/>
      <c r="G72" s="110"/>
    </row>
    <row r="73" spans="1:10" s="3" customFormat="1" ht="17.25" x14ac:dyDescent="0.3">
      <c r="A73" s="113">
        <f>+A71+1</f>
        <v>36</v>
      </c>
      <c r="B73" s="114" t="s">
        <v>205</v>
      </c>
      <c r="C73" s="111">
        <f>+$F$73-($F$73*0.35)</f>
        <v>1056.9000000000001</v>
      </c>
      <c r="D73" s="112">
        <f>+D71+1</f>
        <v>47</v>
      </c>
      <c r="E73" s="63" t="s">
        <v>45</v>
      </c>
      <c r="F73" s="111">
        <v>1626</v>
      </c>
      <c r="G73" s="110">
        <f t="shared" si="17"/>
        <v>-569.09999999999991</v>
      </c>
      <c r="H73" s="8" t="s">
        <v>7</v>
      </c>
    </row>
    <row r="74" spans="1:10" s="3" customFormat="1" x14ac:dyDescent="0.25">
      <c r="A74" s="113">
        <f>+A73+1</f>
        <v>37</v>
      </c>
      <c r="B74" s="114" t="s">
        <v>64</v>
      </c>
      <c r="C74" s="111">
        <f>+$F$74-($F$74*0.35)</f>
        <v>1831.7</v>
      </c>
      <c r="D74" s="112">
        <f t="shared" ref="D74:D79" si="18">+D73+1</f>
        <v>48</v>
      </c>
      <c r="E74" s="63" t="s">
        <v>64</v>
      </c>
      <c r="F74" s="111">
        <v>2818</v>
      </c>
      <c r="G74" s="110">
        <f t="shared" si="17"/>
        <v>-986.3</v>
      </c>
    </row>
    <row r="75" spans="1:10" s="3" customFormat="1" ht="31.5" x14ac:dyDescent="0.25">
      <c r="A75" s="113"/>
      <c r="B75" s="37"/>
      <c r="C75" s="111">
        <v>0</v>
      </c>
      <c r="D75" s="112">
        <f t="shared" si="18"/>
        <v>49</v>
      </c>
      <c r="E75" s="63" t="s">
        <v>77</v>
      </c>
      <c r="F75" s="111">
        <v>1593</v>
      </c>
      <c r="G75" s="110">
        <f t="shared" ref="G75" si="19">+C75-F75</f>
        <v>-1593</v>
      </c>
      <c r="I75" s="33"/>
    </row>
    <row r="76" spans="1:10" s="3" customFormat="1" x14ac:dyDescent="0.25">
      <c r="A76" s="191">
        <f>+A74+1</f>
        <v>38</v>
      </c>
      <c r="B76" s="192" t="s">
        <v>165</v>
      </c>
      <c r="C76" s="193">
        <f>+($F$76+$F$77)-(($F$76*0.3)+($F$77*0.3))+28</f>
        <v>468.3</v>
      </c>
      <c r="D76" s="112">
        <f t="shared" si="18"/>
        <v>50</v>
      </c>
      <c r="E76" s="70" t="s">
        <v>164</v>
      </c>
      <c r="F76" s="111">
        <v>413</v>
      </c>
      <c r="G76" s="198">
        <f>+C76-F76-F77</f>
        <v>-160.69999999999999</v>
      </c>
    </row>
    <row r="77" spans="1:10" s="3" customFormat="1" x14ac:dyDescent="0.25">
      <c r="A77" s="191"/>
      <c r="B77" s="192"/>
      <c r="C77" s="193"/>
      <c r="D77" s="112">
        <f t="shared" si="18"/>
        <v>51</v>
      </c>
      <c r="E77" s="70" t="s">
        <v>166</v>
      </c>
      <c r="F77" s="111">
        <v>216</v>
      </c>
      <c r="G77" s="198"/>
    </row>
    <row r="78" spans="1:10" s="3" customFormat="1" x14ac:dyDescent="0.25">
      <c r="A78" s="113">
        <f>+A76+1</f>
        <v>39</v>
      </c>
      <c r="B78" s="114" t="s">
        <v>51</v>
      </c>
      <c r="C78" s="111">
        <f>+$F$78-($F$78*0.35)</f>
        <v>20.149999999999999</v>
      </c>
      <c r="D78" s="112">
        <f t="shared" si="18"/>
        <v>52</v>
      </c>
      <c r="E78" s="63" t="s">
        <v>51</v>
      </c>
      <c r="F78" s="111">
        <v>31</v>
      </c>
      <c r="G78" s="110">
        <f t="shared" ref="G78:G79" si="20">+C78-F78</f>
        <v>-10.850000000000001</v>
      </c>
    </row>
    <row r="79" spans="1:10" s="3" customFormat="1" ht="31.5" x14ac:dyDescent="0.25">
      <c r="A79" s="113"/>
      <c r="B79" s="37"/>
      <c r="C79" s="111">
        <v>0</v>
      </c>
      <c r="D79" s="112">
        <f t="shared" si="18"/>
        <v>53</v>
      </c>
      <c r="E79" s="63" t="s">
        <v>56</v>
      </c>
      <c r="F79" s="111">
        <v>57</v>
      </c>
      <c r="G79" s="110">
        <f t="shared" si="20"/>
        <v>-57</v>
      </c>
    </row>
    <row r="80" spans="1:10" s="2" customFormat="1" ht="6.75" customHeight="1" x14ac:dyDescent="0.25">
      <c r="A80" s="83"/>
      <c r="B80" s="78"/>
      <c r="C80" s="97"/>
      <c r="D80" s="73"/>
      <c r="E80" s="74"/>
      <c r="F80" s="97"/>
      <c r="G80" s="79"/>
    </row>
    <row r="81" spans="1:7" s="3" customFormat="1" ht="31.5" x14ac:dyDescent="0.25">
      <c r="A81" s="113">
        <f>+A78+1</f>
        <v>40</v>
      </c>
      <c r="B81" s="115" t="s">
        <v>175</v>
      </c>
      <c r="C81" s="111">
        <f>+$F$81-($F$81*0.35)</f>
        <v>152.10000000000002</v>
      </c>
      <c r="D81" s="112">
        <f>+D79+1</f>
        <v>54</v>
      </c>
      <c r="E81" s="23" t="s">
        <v>176</v>
      </c>
      <c r="F81" s="111">
        <v>234</v>
      </c>
      <c r="G81" s="110">
        <f t="shared" ref="G81" si="21">+C81-F81</f>
        <v>-81.899999999999977</v>
      </c>
    </row>
    <row r="82" spans="1:7" s="3" customFormat="1" x14ac:dyDescent="0.25">
      <c r="A82" s="112"/>
      <c r="B82" s="52" t="s">
        <v>123</v>
      </c>
      <c r="C82" s="111"/>
      <c r="D82" s="112"/>
      <c r="E82" s="23"/>
      <c r="F82" s="111"/>
      <c r="G82" s="110"/>
    </row>
    <row r="83" spans="1:7" s="3" customFormat="1" ht="31.5" x14ac:dyDescent="0.25">
      <c r="A83" s="113">
        <f>+A81+1</f>
        <v>41</v>
      </c>
      <c r="B83" s="114" t="s">
        <v>167</v>
      </c>
      <c r="C83" s="111">
        <v>31</v>
      </c>
      <c r="D83" s="112">
        <f>+D81+1</f>
        <v>55</v>
      </c>
      <c r="E83" s="23" t="s">
        <v>168</v>
      </c>
      <c r="F83" s="111">
        <v>31</v>
      </c>
      <c r="G83" s="110">
        <f t="shared" ref="G83:G84" si="22">+C83-F83</f>
        <v>0</v>
      </c>
    </row>
    <row r="84" spans="1:7" s="3" customFormat="1" ht="31.5" x14ac:dyDescent="0.25">
      <c r="A84" s="113">
        <f>+A83+1</f>
        <v>42</v>
      </c>
      <c r="B84" s="114" t="s">
        <v>169</v>
      </c>
      <c r="C84" s="111">
        <f>+$F$84-($F$84*0.35)</f>
        <v>126.10000000000001</v>
      </c>
      <c r="D84" s="112">
        <f>+D83+1</f>
        <v>56</v>
      </c>
      <c r="E84" s="63" t="s">
        <v>85</v>
      </c>
      <c r="F84" s="111">
        <v>194</v>
      </c>
      <c r="G84" s="110">
        <f t="shared" si="22"/>
        <v>-67.899999999999991</v>
      </c>
    </row>
    <row r="85" spans="1:7" s="2" customFormat="1" ht="6.75" customHeight="1" x14ac:dyDescent="0.25">
      <c r="A85" s="83"/>
      <c r="B85" s="78"/>
      <c r="C85" s="97"/>
      <c r="D85" s="73"/>
      <c r="E85" s="74"/>
      <c r="F85" s="97"/>
      <c r="G85" s="79"/>
    </row>
    <row r="86" spans="1:7" s="61" customFormat="1" x14ac:dyDescent="0.25">
      <c r="A86" s="113">
        <f>+A84+1</f>
        <v>43</v>
      </c>
      <c r="B86" s="54" t="s">
        <v>28</v>
      </c>
      <c r="C86" s="111">
        <f>+$F$86-($F$86*0.35)</f>
        <v>3231.8</v>
      </c>
      <c r="D86" s="112">
        <f>+D84+1</f>
        <v>57</v>
      </c>
      <c r="E86" s="54" t="s">
        <v>28</v>
      </c>
      <c r="F86" s="111">
        <v>4972</v>
      </c>
      <c r="G86" s="110">
        <f t="shared" ref="G86:G88" si="23">+C86-F86</f>
        <v>-1740.1999999999998</v>
      </c>
    </row>
    <row r="87" spans="1:7" s="3" customFormat="1" x14ac:dyDescent="0.25">
      <c r="A87" s="113">
        <f>+A86+1</f>
        <v>44</v>
      </c>
      <c r="B87" s="114" t="s">
        <v>69</v>
      </c>
      <c r="C87" s="111">
        <f>+$F$87-($F$87*0.35)</f>
        <v>45.5</v>
      </c>
      <c r="D87" s="112">
        <f>+D86+1</f>
        <v>58</v>
      </c>
      <c r="E87" s="63" t="s">
        <v>69</v>
      </c>
      <c r="F87" s="111">
        <v>70</v>
      </c>
      <c r="G87" s="110">
        <f t="shared" si="23"/>
        <v>-24.5</v>
      </c>
    </row>
    <row r="88" spans="1:7" s="3" customFormat="1" x14ac:dyDescent="0.25">
      <c r="A88" s="113">
        <f>+A87+1</f>
        <v>45</v>
      </c>
      <c r="B88" s="114" t="s">
        <v>170</v>
      </c>
      <c r="C88" s="111">
        <f>+$F$88-($F$88*0.35)</f>
        <v>35.75</v>
      </c>
      <c r="D88" s="112">
        <f>+D87+1</f>
        <v>59</v>
      </c>
      <c r="E88" s="63" t="s">
        <v>91</v>
      </c>
      <c r="F88" s="111">
        <v>55</v>
      </c>
      <c r="G88" s="110">
        <f t="shared" si="23"/>
        <v>-19.25</v>
      </c>
    </row>
    <row r="89" spans="1:7" s="2" customFormat="1" ht="6.75" customHeight="1" x14ac:dyDescent="0.25">
      <c r="A89" s="83"/>
      <c r="B89" s="78"/>
      <c r="C89" s="97"/>
      <c r="D89" s="73"/>
      <c r="E89" s="74"/>
      <c r="F89" s="97"/>
      <c r="G89" s="79"/>
    </row>
    <row r="90" spans="1:7" s="61" customFormat="1" x14ac:dyDescent="0.25">
      <c r="A90" s="113">
        <f>+A88+1</f>
        <v>46</v>
      </c>
      <c r="B90" s="54" t="s">
        <v>20</v>
      </c>
      <c r="C90" s="111">
        <f>+$F$90-($F$90*0.35)</f>
        <v>592.15000000000009</v>
      </c>
      <c r="D90" s="112">
        <f>+D88+1</f>
        <v>60</v>
      </c>
      <c r="E90" s="54" t="s">
        <v>20</v>
      </c>
      <c r="F90" s="111">
        <v>911</v>
      </c>
      <c r="G90" s="110">
        <f t="shared" ref="G90" si="24">+C90-F90</f>
        <v>-318.84999999999991</v>
      </c>
    </row>
    <row r="91" spans="1:7" s="3" customFormat="1" x14ac:dyDescent="0.25">
      <c r="A91" s="112"/>
      <c r="B91" s="52" t="s">
        <v>123</v>
      </c>
      <c r="C91" s="111"/>
      <c r="D91" s="112"/>
      <c r="E91" s="52" t="s">
        <v>123</v>
      </c>
      <c r="F91" s="111"/>
      <c r="G91" s="110"/>
    </row>
    <row r="92" spans="1:7" s="3" customFormat="1" x14ac:dyDescent="0.25">
      <c r="A92" s="113">
        <f>+A90+1</f>
        <v>47</v>
      </c>
      <c r="B92" s="62" t="s">
        <v>171</v>
      </c>
      <c r="C92" s="111">
        <f>+$F$92-($F$92*0.35)</f>
        <v>304.20000000000005</v>
      </c>
      <c r="D92" s="112">
        <f>+D90+1</f>
        <v>61</v>
      </c>
      <c r="E92" s="62" t="s">
        <v>171</v>
      </c>
      <c r="F92" s="111">
        <v>468</v>
      </c>
      <c r="G92" s="110">
        <f t="shared" ref="G92:G95" si="25">+C92-F92</f>
        <v>-163.79999999999995</v>
      </c>
    </row>
    <row r="93" spans="1:7" s="3" customFormat="1" x14ac:dyDescent="0.25">
      <c r="A93" s="113">
        <f>+A92+1</f>
        <v>48</v>
      </c>
      <c r="B93" s="62" t="s">
        <v>172</v>
      </c>
      <c r="C93" s="111">
        <v>51</v>
      </c>
      <c r="D93" s="112">
        <f>+D92+1</f>
        <v>62</v>
      </c>
      <c r="E93" s="62" t="s">
        <v>172</v>
      </c>
      <c r="F93" s="111">
        <v>51</v>
      </c>
      <c r="G93" s="110">
        <f t="shared" si="25"/>
        <v>0</v>
      </c>
    </row>
    <row r="94" spans="1:7" s="3" customFormat="1" ht="31.5" x14ac:dyDescent="0.25">
      <c r="A94" s="113">
        <f t="shared" ref="A94:A95" si="26">+A93+1</f>
        <v>49</v>
      </c>
      <c r="B94" s="62" t="s">
        <v>173</v>
      </c>
      <c r="C94" s="111">
        <f>+$F$94-($F$94*0.35)</f>
        <v>13</v>
      </c>
      <c r="D94" s="112">
        <f t="shared" ref="D94:D95" si="27">+D93+1</f>
        <v>63</v>
      </c>
      <c r="E94" s="62" t="s">
        <v>173</v>
      </c>
      <c r="F94" s="111">
        <v>20</v>
      </c>
      <c r="G94" s="110">
        <f t="shared" si="25"/>
        <v>-7</v>
      </c>
    </row>
    <row r="95" spans="1:7" s="3" customFormat="1" x14ac:dyDescent="0.25">
      <c r="A95" s="113">
        <f t="shared" si="26"/>
        <v>50</v>
      </c>
      <c r="B95" s="62" t="s">
        <v>174</v>
      </c>
      <c r="C95" s="111">
        <f>+$F$95-($F$95*0.35)</f>
        <v>40.950000000000003</v>
      </c>
      <c r="D95" s="112">
        <f t="shared" si="27"/>
        <v>64</v>
      </c>
      <c r="E95" s="62" t="s">
        <v>174</v>
      </c>
      <c r="F95" s="111">
        <v>63</v>
      </c>
      <c r="G95" s="110">
        <f t="shared" si="25"/>
        <v>-22.049999999999997</v>
      </c>
    </row>
    <row r="96" spans="1:7" s="2" customFormat="1" ht="6.75" customHeight="1" x14ac:dyDescent="0.25">
      <c r="A96" s="83"/>
      <c r="B96" s="78"/>
      <c r="C96" s="97"/>
      <c r="D96" s="73"/>
      <c r="E96" s="74"/>
      <c r="F96" s="97"/>
      <c r="G96" s="79"/>
    </row>
    <row r="97" spans="1:7" s="61" customFormat="1" x14ac:dyDescent="0.25">
      <c r="A97" s="113">
        <f>+A95+1</f>
        <v>51</v>
      </c>
      <c r="B97" s="54" t="s">
        <v>29</v>
      </c>
      <c r="C97" s="111">
        <f>+$F$97-($F$97*0.2)+153-27</f>
        <v>841.2</v>
      </c>
      <c r="D97" s="112">
        <f>+D95+1</f>
        <v>65</v>
      </c>
      <c r="E97" s="54" t="s">
        <v>29</v>
      </c>
      <c r="F97" s="111">
        <v>894</v>
      </c>
      <c r="G97" s="110">
        <f t="shared" ref="G97" si="28">+C97-F97</f>
        <v>-52.799999999999955</v>
      </c>
    </row>
    <row r="98" spans="1:7" s="3" customFormat="1" x14ac:dyDescent="0.25">
      <c r="A98" s="112"/>
      <c r="B98" s="52" t="s">
        <v>123</v>
      </c>
      <c r="C98" s="111"/>
      <c r="D98" s="112"/>
      <c r="E98" s="23"/>
      <c r="F98" s="111"/>
      <c r="G98" s="110"/>
    </row>
    <row r="99" spans="1:7" s="3" customFormat="1" x14ac:dyDescent="0.25">
      <c r="A99" s="113">
        <f>+A97+1</f>
        <v>52</v>
      </c>
      <c r="B99" s="114" t="s">
        <v>74</v>
      </c>
      <c r="C99" s="111">
        <f>+$F$99-($F$99*0.35)</f>
        <v>58.5</v>
      </c>
      <c r="D99" s="112">
        <f>+D97+1</f>
        <v>66</v>
      </c>
      <c r="E99" s="63" t="s">
        <v>74</v>
      </c>
      <c r="F99" s="111">
        <v>90</v>
      </c>
      <c r="G99" s="110">
        <f t="shared" ref="G99:G101" si="29">+C99-F99</f>
        <v>-31.5</v>
      </c>
    </row>
    <row r="100" spans="1:7" s="3" customFormat="1" ht="31.5" x14ac:dyDescent="0.25">
      <c r="A100" s="113">
        <f>+A99+1</f>
        <v>53</v>
      </c>
      <c r="B100" s="114" t="s">
        <v>177</v>
      </c>
      <c r="C100" s="111">
        <f>+$F$100-($F$100*0.35)</f>
        <v>14.950000000000001</v>
      </c>
      <c r="D100" s="112">
        <f>+D99+1</f>
        <v>67</v>
      </c>
      <c r="E100" s="63" t="s">
        <v>50</v>
      </c>
      <c r="F100" s="111">
        <v>23</v>
      </c>
      <c r="G100" s="110">
        <f t="shared" si="29"/>
        <v>-8.0499999999999989</v>
      </c>
    </row>
    <row r="101" spans="1:7" s="7" customFormat="1" x14ac:dyDescent="0.25">
      <c r="A101" s="113">
        <f>+A100+1</f>
        <v>54</v>
      </c>
      <c r="B101" s="114" t="s">
        <v>178</v>
      </c>
      <c r="C101" s="111">
        <f>+$F$101-($F$101*0.35)</f>
        <v>136.5</v>
      </c>
      <c r="D101" s="112">
        <f>+D100+1</f>
        <v>68</v>
      </c>
      <c r="E101" s="63" t="s">
        <v>75</v>
      </c>
      <c r="F101" s="111">
        <v>210</v>
      </c>
      <c r="G101" s="110">
        <f t="shared" si="29"/>
        <v>-73.5</v>
      </c>
    </row>
    <row r="102" spans="1:7" s="2" customFormat="1" ht="6.75" customHeight="1" x14ac:dyDescent="0.25">
      <c r="A102" s="83"/>
      <c r="B102" s="78"/>
      <c r="C102" s="97"/>
      <c r="D102" s="73"/>
      <c r="E102" s="74"/>
      <c r="F102" s="97"/>
      <c r="G102" s="79"/>
    </row>
    <row r="103" spans="1:7" s="86" customFormat="1" x14ac:dyDescent="0.25">
      <c r="A103" s="113">
        <f>+A101+1</f>
        <v>55</v>
      </c>
      <c r="B103" s="54" t="s">
        <v>101</v>
      </c>
      <c r="C103" s="111">
        <v>0</v>
      </c>
      <c r="D103" s="112">
        <f>+D101+1</f>
        <v>69</v>
      </c>
      <c r="E103" s="54" t="s">
        <v>101</v>
      </c>
      <c r="F103" s="111">
        <v>0</v>
      </c>
      <c r="G103" s="110">
        <f t="shared" ref="G103" si="30">+C103-F103</f>
        <v>0</v>
      </c>
    </row>
    <row r="104" spans="1:7" s="7" customFormat="1" x14ac:dyDescent="0.25">
      <c r="A104" s="113"/>
      <c r="B104" s="52" t="s">
        <v>123</v>
      </c>
      <c r="C104" s="111"/>
      <c r="D104" s="112"/>
      <c r="E104" s="23"/>
      <c r="F104" s="111"/>
      <c r="G104" s="98"/>
    </row>
    <row r="105" spans="1:7" s="7" customFormat="1" x14ac:dyDescent="0.25">
      <c r="A105" s="116">
        <f>+A103+1</f>
        <v>56</v>
      </c>
      <c r="B105" s="114" t="s">
        <v>99</v>
      </c>
      <c r="C105" s="111">
        <v>0</v>
      </c>
      <c r="D105" s="112">
        <f>+D103+1</f>
        <v>70</v>
      </c>
      <c r="E105" s="63" t="s">
        <v>99</v>
      </c>
      <c r="F105" s="111">
        <v>0</v>
      </c>
      <c r="G105" s="110">
        <f t="shared" ref="G105" si="31">+C105-F105</f>
        <v>0</v>
      </c>
    </row>
    <row r="106" spans="1:7" s="2" customFormat="1" ht="6.75" customHeight="1" x14ac:dyDescent="0.25">
      <c r="A106" s="83"/>
      <c r="B106" s="78"/>
      <c r="C106" s="97"/>
      <c r="D106" s="73"/>
      <c r="E106" s="74"/>
      <c r="F106" s="97"/>
      <c r="G106" s="79"/>
    </row>
    <row r="107" spans="1:7" s="61" customFormat="1" x14ac:dyDescent="0.25">
      <c r="A107" s="113">
        <f>+A105+1</f>
        <v>57</v>
      </c>
      <c r="B107" s="54" t="s">
        <v>36</v>
      </c>
      <c r="C107" s="111">
        <f>+$F$107-($F$107*0.35)+20</f>
        <v>5082.2000000000007</v>
      </c>
      <c r="D107" s="112">
        <f>+D105+1</f>
        <v>71</v>
      </c>
      <c r="E107" s="54" t="s">
        <v>36</v>
      </c>
      <c r="F107" s="111">
        <v>7788</v>
      </c>
      <c r="G107" s="110">
        <f t="shared" ref="G107" si="32">+C107-F107</f>
        <v>-2705.7999999999993</v>
      </c>
    </row>
    <row r="108" spans="1:7" s="3" customFormat="1" x14ac:dyDescent="0.25">
      <c r="A108" s="112"/>
      <c r="B108" s="52"/>
      <c r="C108" s="111"/>
      <c r="D108" s="112"/>
      <c r="E108" s="52" t="s">
        <v>123</v>
      </c>
      <c r="F108" s="111"/>
      <c r="G108" s="110"/>
    </row>
    <row r="109" spans="1:7" s="7" customFormat="1" ht="17.25" x14ac:dyDescent="0.25">
      <c r="A109" s="113"/>
      <c r="B109" s="37"/>
      <c r="C109" s="111">
        <v>0</v>
      </c>
      <c r="D109" s="112">
        <f>+D107+1</f>
        <v>72</v>
      </c>
      <c r="E109" s="87" t="s">
        <v>179</v>
      </c>
      <c r="F109" s="111">
        <v>20</v>
      </c>
      <c r="G109" s="110">
        <f t="shared" ref="G109" si="33">+C109-F109</f>
        <v>-20</v>
      </c>
    </row>
    <row r="110" spans="1:7" s="2" customFormat="1" ht="6.75" customHeight="1" x14ac:dyDescent="0.25">
      <c r="A110" s="83"/>
      <c r="B110" s="78"/>
      <c r="C110" s="97"/>
      <c r="D110" s="73"/>
      <c r="E110" s="74"/>
      <c r="F110" s="97"/>
      <c r="G110" s="79"/>
    </row>
    <row r="111" spans="1:7" s="61" customFormat="1" x14ac:dyDescent="0.25">
      <c r="A111" s="113">
        <f>+A107+1</f>
        <v>58</v>
      </c>
      <c r="B111" s="54" t="s">
        <v>37</v>
      </c>
      <c r="C111" s="111">
        <f>+$F$111</f>
        <v>115</v>
      </c>
      <c r="D111" s="112">
        <f>+D109+1</f>
        <v>73</v>
      </c>
      <c r="E111" s="54" t="s">
        <v>37</v>
      </c>
      <c r="F111" s="111">
        <v>115</v>
      </c>
      <c r="G111" s="110">
        <f t="shared" ref="G111" si="34">+C111-F111</f>
        <v>0</v>
      </c>
    </row>
    <row r="112" spans="1:7" s="61" customFormat="1" x14ac:dyDescent="0.25">
      <c r="A112" s="112"/>
      <c r="B112" s="52" t="s">
        <v>123</v>
      </c>
      <c r="C112" s="111"/>
      <c r="D112" s="112"/>
      <c r="E112" s="52" t="s">
        <v>123</v>
      </c>
      <c r="F112" s="111"/>
      <c r="G112" s="110"/>
    </row>
    <row r="113" spans="1:9" s="3" customFormat="1" ht="17.25" customHeight="1" x14ac:dyDescent="0.25">
      <c r="A113" s="191">
        <f>+A111+1</f>
        <v>59</v>
      </c>
      <c r="B113" s="192" t="s">
        <v>183</v>
      </c>
      <c r="C113" s="193">
        <f>+($F$113+$F$114)-(($F$113*0.35)+($F$114*0.35))</f>
        <v>150.15</v>
      </c>
      <c r="D113" s="112">
        <f>+D111+1</f>
        <v>74</v>
      </c>
      <c r="E113" s="70" t="s">
        <v>181</v>
      </c>
      <c r="F113" s="111">
        <v>198</v>
      </c>
      <c r="G113" s="198">
        <f t="shared" ref="G113:G115" si="35">+C113-F113</f>
        <v>-47.849999999999994</v>
      </c>
    </row>
    <row r="114" spans="1:9" s="3" customFormat="1" x14ac:dyDescent="0.25">
      <c r="A114" s="191"/>
      <c r="B114" s="192"/>
      <c r="C114" s="193"/>
      <c r="D114" s="112">
        <f>+D113+1</f>
        <v>75</v>
      </c>
      <c r="E114" s="70" t="s">
        <v>182</v>
      </c>
      <c r="F114" s="111">
        <v>33</v>
      </c>
      <c r="G114" s="198">
        <f t="shared" si="35"/>
        <v>-33</v>
      </c>
    </row>
    <row r="115" spans="1:9" s="3" customFormat="1" x14ac:dyDescent="0.25">
      <c r="A115" s="113">
        <f>+A113+1</f>
        <v>60</v>
      </c>
      <c r="B115" s="88" t="s">
        <v>184</v>
      </c>
      <c r="C115" s="111">
        <v>48</v>
      </c>
      <c r="D115" s="112">
        <f t="shared" ref="D115" si="36">+D114+1</f>
        <v>76</v>
      </c>
      <c r="E115" s="88" t="s">
        <v>184</v>
      </c>
      <c r="F115" s="111">
        <v>48</v>
      </c>
      <c r="G115" s="110">
        <f t="shared" si="35"/>
        <v>0</v>
      </c>
    </row>
    <row r="116" spans="1:9" s="2" customFormat="1" ht="6.75" customHeight="1" x14ac:dyDescent="0.25">
      <c r="A116" s="83"/>
      <c r="B116" s="78"/>
      <c r="C116" s="97"/>
      <c r="D116" s="73"/>
      <c r="E116" s="74"/>
      <c r="F116" s="97"/>
      <c r="G116" s="79"/>
    </row>
    <row r="117" spans="1:9" s="61" customFormat="1" x14ac:dyDescent="0.25">
      <c r="A117" s="113">
        <f>+A115+1</f>
        <v>61</v>
      </c>
      <c r="B117" s="54" t="s">
        <v>24</v>
      </c>
      <c r="C117" s="111">
        <f>562+72</f>
        <v>634</v>
      </c>
      <c r="D117" s="112">
        <f>+D115+1</f>
        <v>77</v>
      </c>
      <c r="E117" s="54" t="s">
        <v>24</v>
      </c>
      <c r="F117" s="111">
        <v>562</v>
      </c>
      <c r="G117" s="110">
        <f t="shared" ref="G117" si="37">+C117-F117</f>
        <v>72</v>
      </c>
    </row>
    <row r="118" spans="1:9" s="3" customFormat="1" x14ac:dyDescent="0.25">
      <c r="A118" s="112"/>
      <c r="B118" s="52" t="s">
        <v>123</v>
      </c>
      <c r="C118" s="111"/>
      <c r="D118" s="112"/>
      <c r="E118" s="52" t="s">
        <v>123</v>
      </c>
      <c r="F118" s="111"/>
      <c r="G118" s="110"/>
    </row>
    <row r="119" spans="1:9" s="3" customFormat="1" x14ac:dyDescent="0.25">
      <c r="A119" s="113">
        <f>+A117+1</f>
        <v>62</v>
      </c>
      <c r="B119" s="88" t="s">
        <v>185</v>
      </c>
      <c r="C119" s="111">
        <f>+$F$119-($F$119*0.35)</f>
        <v>74.099999999999994</v>
      </c>
      <c r="D119" s="112">
        <f>+D117+1</f>
        <v>78</v>
      </c>
      <c r="E119" s="88" t="s">
        <v>185</v>
      </c>
      <c r="F119" s="111">
        <v>114</v>
      </c>
      <c r="G119" s="110">
        <f t="shared" ref="G119:G121" si="38">+C119-F119</f>
        <v>-39.900000000000006</v>
      </c>
    </row>
    <row r="120" spans="1:9" s="3" customFormat="1" x14ac:dyDescent="0.25">
      <c r="A120" s="113">
        <f>+A119+1</f>
        <v>63</v>
      </c>
      <c r="B120" s="88" t="s">
        <v>187</v>
      </c>
      <c r="C120" s="111">
        <f>+$F$120-($F$120*0.35)</f>
        <v>70.2</v>
      </c>
      <c r="D120" s="112">
        <f>+D119+1</f>
        <v>79</v>
      </c>
      <c r="E120" s="88" t="s">
        <v>187</v>
      </c>
      <c r="F120" s="111">
        <v>108</v>
      </c>
      <c r="G120" s="110">
        <f t="shared" ref="G120" si="39">+C120-F120</f>
        <v>-37.799999999999997</v>
      </c>
    </row>
    <row r="121" spans="1:9" s="3" customFormat="1" ht="17.25" x14ac:dyDescent="0.25">
      <c r="A121" s="113"/>
      <c r="B121" s="37"/>
      <c r="C121" s="111">
        <v>0</v>
      </c>
      <c r="D121" s="112">
        <f>+D120+1</f>
        <v>80</v>
      </c>
      <c r="E121" s="70" t="s">
        <v>186</v>
      </c>
      <c r="F121" s="111">
        <v>110</v>
      </c>
      <c r="G121" s="110">
        <f t="shared" si="38"/>
        <v>-110</v>
      </c>
      <c r="I121" s="33"/>
    </row>
    <row r="122" spans="1:9" s="2" customFormat="1" ht="6.75" customHeight="1" x14ac:dyDescent="0.25">
      <c r="A122" s="83"/>
      <c r="B122" s="78"/>
      <c r="C122" s="97"/>
      <c r="D122" s="73"/>
      <c r="E122" s="74"/>
      <c r="F122" s="97"/>
      <c r="G122" s="79"/>
    </row>
    <row r="123" spans="1:9" s="61" customFormat="1" x14ac:dyDescent="0.25">
      <c r="A123" s="113">
        <f>+A120+1</f>
        <v>64</v>
      </c>
      <c r="B123" s="54" t="s">
        <v>6</v>
      </c>
      <c r="C123" s="111">
        <f>+$F$123-($F$123*0.3)</f>
        <v>193.9</v>
      </c>
      <c r="D123" s="112">
        <f>+D121+1</f>
        <v>81</v>
      </c>
      <c r="E123" s="54" t="s">
        <v>6</v>
      </c>
      <c r="F123" s="111">
        <v>277</v>
      </c>
      <c r="G123" s="110">
        <f t="shared" ref="G123" si="40">+C123-F123</f>
        <v>-83.1</v>
      </c>
    </row>
    <row r="124" spans="1:9" s="2" customFormat="1" ht="6.75" customHeight="1" x14ac:dyDescent="0.25">
      <c r="A124" s="83"/>
      <c r="B124" s="78"/>
      <c r="C124" s="97"/>
      <c r="D124" s="73"/>
      <c r="E124" s="74"/>
      <c r="F124" s="97"/>
      <c r="G124" s="79"/>
    </row>
    <row r="125" spans="1:9" s="86" customFormat="1" x14ac:dyDescent="0.25">
      <c r="A125" s="113">
        <f>+A123+1</f>
        <v>65</v>
      </c>
      <c r="B125" s="54" t="s">
        <v>100</v>
      </c>
      <c r="C125" s="111"/>
      <c r="D125" s="112">
        <f>+D123+1</f>
        <v>82</v>
      </c>
      <c r="E125" s="54" t="s">
        <v>100</v>
      </c>
      <c r="F125" s="111">
        <v>0</v>
      </c>
      <c r="G125" s="98">
        <f t="shared" ref="G125" si="41">+C125-F125</f>
        <v>0</v>
      </c>
    </row>
    <row r="126" spans="1:9" s="2" customFormat="1" ht="6.75" customHeight="1" x14ac:dyDescent="0.25">
      <c r="A126" s="83"/>
      <c r="B126" s="78"/>
      <c r="C126" s="97"/>
      <c r="D126" s="73"/>
      <c r="E126" s="74"/>
      <c r="F126" s="97"/>
      <c r="G126" s="79"/>
    </row>
    <row r="127" spans="1:9" s="86" customFormat="1" x14ac:dyDescent="0.25">
      <c r="A127" s="113">
        <f>+A125+1</f>
        <v>66</v>
      </c>
      <c r="B127" s="54" t="s">
        <v>102</v>
      </c>
      <c r="C127" s="111"/>
      <c r="D127" s="112">
        <f>+D125+1</f>
        <v>83</v>
      </c>
      <c r="E127" s="54" t="s">
        <v>102</v>
      </c>
      <c r="F127" s="111">
        <v>0</v>
      </c>
      <c r="G127" s="98">
        <f t="shared" ref="G127" si="42">+C127-F127</f>
        <v>0</v>
      </c>
    </row>
    <row r="128" spans="1:9" s="86" customFormat="1" x14ac:dyDescent="0.25">
      <c r="A128" s="113"/>
      <c r="B128" s="52" t="s">
        <v>123</v>
      </c>
      <c r="C128" s="111"/>
      <c r="D128" s="112"/>
      <c r="E128" s="52" t="s">
        <v>123</v>
      </c>
      <c r="F128" s="111"/>
      <c r="G128" s="98"/>
    </row>
    <row r="129" spans="1:7" s="86" customFormat="1" x14ac:dyDescent="0.25">
      <c r="A129" s="113">
        <f>+A127+1</f>
        <v>67</v>
      </c>
      <c r="B129" s="54" t="s">
        <v>200</v>
      </c>
      <c r="C129" s="111">
        <v>0</v>
      </c>
      <c r="D129" s="112">
        <f>+D127+1</f>
        <v>84</v>
      </c>
      <c r="E129" s="54" t="s">
        <v>200</v>
      </c>
      <c r="F129" s="111">
        <v>0</v>
      </c>
      <c r="G129" s="110">
        <f t="shared" ref="G129" si="43">+C129-F129</f>
        <v>0</v>
      </c>
    </row>
    <row r="130" spans="1:7" s="2" customFormat="1" ht="6.75" customHeight="1" x14ac:dyDescent="0.25">
      <c r="A130" s="83"/>
      <c r="B130" s="78"/>
      <c r="C130" s="97"/>
      <c r="D130" s="73"/>
      <c r="E130" s="74"/>
      <c r="F130" s="97"/>
      <c r="G130" s="79"/>
    </row>
    <row r="131" spans="1:7" s="61" customFormat="1" ht="31.5" x14ac:dyDescent="0.25">
      <c r="A131" s="113">
        <f>+A129+1</f>
        <v>68</v>
      </c>
      <c r="B131" s="54" t="s">
        <v>188</v>
      </c>
      <c r="C131" s="111">
        <f>+$F$131-($F$131*0.35)</f>
        <v>268.45000000000005</v>
      </c>
      <c r="D131" s="112">
        <f>+D129+1</f>
        <v>85</v>
      </c>
      <c r="E131" s="54" t="s">
        <v>189</v>
      </c>
      <c r="F131" s="111">
        <v>413</v>
      </c>
      <c r="G131" s="110">
        <f t="shared" ref="G131" si="44">+C131-F131</f>
        <v>-144.54999999999995</v>
      </c>
    </row>
    <row r="132" spans="1:7" s="7" customFormat="1" x14ac:dyDescent="0.25">
      <c r="A132" s="113"/>
      <c r="B132" s="52"/>
      <c r="C132" s="111"/>
      <c r="D132" s="112"/>
      <c r="E132" s="52" t="s">
        <v>190</v>
      </c>
      <c r="F132" s="111"/>
      <c r="G132" s="98"/>
    </row>
    <row r="133" spans="1:7" s="3" customFormat="1" ht="17.25" x14ac:dyDescent="0.25">
      <c r="A133" s="113"/>
      <c r="B133" s="37"/>
      <c r="C133" s="111">
        <v>0</v>
      </c>
      <c r="D133" s="112">
        <f>+D131+1</f>
        <v>86</v>
      </c>
      <c r="E133" s="70" t="s">
        <v>191</v>
      </c>
      <c r="F133" s="111">
        <v>32</v>
      </c>
      <c r="G133" s="110">
        <f t="shared" ref="G133" si="45">+C133-F133</f>
        <v>-32</v>
      </c>
    </row>
    <row r="134" spans="1:7" s="2" customFormat="1" ht="6.75" customHeight="1" x14ac:dyDescent="0.25">
      <c r="A134" s="83"/>
      <c r="B134" s="78"/>
      <c r="C134" s="97"/>
      <c r="D134" s="73"/>
      <c r="E134" s="74"/>
      <c r="F134" s="97"/>
      <c r="G134" s="79"/>
    </row>
    <row r="135" spans="1:7" s="61" customFormat="1" x14ac:dyDescent="0.25">
      <c r="A135" s="113">
        <f>+A131+1</f>
        <v>69</v>
      </c>
      <c r="B135" s="54" t="s">
        <v>192</v>
      </c>
      <c r="C135" s="111">
        <f>+$F$135-($F$135*0.2)</f>
        <v>1508</v>
      </c>
      <c r="D135" s="112">
        <f>+D133+1</f>
        <v>87</v>
      </c>
      <c r="E135" s="54" t="s">
        <v>193</v>
      </c>
      <c r="F135" s="111">
        <v>1885</v>
      </c>
      <c r="G135" s="110">
        <f t="shared" ref="G135" si="46">+C135-F135</f>
        <v>-377</v>
      </c>
    </row>
    <row r="136" spans="1:7" s="2" customFormat="1" ht="6.75" customHeight="1" x14ac:dyDescent="0.25">
      <c r="A136" s="83"/>
      <c r="B136" s="78"/>
      <c r="C136" s="97"/>
      <c r="D136" s="73"/>
      <c r="E136" s="74"/>
      <c r="F136" s="97"/>
      <c r="G136" s="79"/>
    </row>
    <row r="137" spans="1:7" s="61" customFormat="1" x14ac:dyDescent="0.25">
      <c r="A137" s="113">
        <f>+A135+1</f>
        <v>70</v>
      </c>
      <c r="B137" s="54" t="s">
        <v>194</v>
      </c>
      <c r="C137" s="111">
        <f>+$F$137-($F$137*0.3)</f>
        <v>226.8</v>
      </c>
      <c r="D137" s="112">
        <f>+D135+1</f>
        <v>88</v>
      </c>
      <c r="E137" s="54" t="s">
        <v>194</v>
      </c>
      <c r="F137" s="111">
        <v>324</v>
      </c>
      <c r="G137" s="110">
        <f t="shared" ref="G137" si="47">+C137-F137</f>
        <v>-97.199999999999989</v>
      </c>
    </row>
    <row r="138" spans="1:7" s="2" customFormat="1" ht="6.75" customHeight="1" x14ac:dyDescent="0.25">
      <c r="A138" s="83"/>
      <c r="B138" s="78"/>
      <c r="C138" s="97"/>
      <c r="D138" s="73"/>
      <c r="E138" s="74"/>
      <c r="F138" s="97"/>
      <c r="G138" s="79"/>
    </row>
    <row r="139" spans="1:7" s="61" customFormat="1" ht="31.5" x14ac:dyDescent="0.25">
      <c r="A139" s="113"/>
      <c r="B139" s="58"/>
      <c r="C139" s="111">
        <v>0</v>
      </c>
      <c r="D139" s="112">
        <f>+D137+1</f>
        <v>89</v>
      </c>
      <c r="E139" s="63" t="s">
        <v>70</v>
      </c>
      <c r="F139" s="111">
        <v>73</v>
      </c>
      <c r="G139" s="110">
        <f t="shared" ref="G139" si="48">+C139-F139</f>
        <v>-73</v>
      </c>
    </row>
    <row r="140" spans="1:7" s="2" customFormat="1" ht="6.75" customHeight="1" x14ac:dyDescent="0.25">
      <c r="A140" s="83"/>
      <c r="B140" s="78"/>
      <c r="C140" s="97"/>
      <c r="D140" s="73"/>
      <c r="E140" s="74"/>
      <c r="F140" s="97"/>
      <c r="G140" s="79"/>
    </row>
    <row r="141" spans="1:7" s="3" customFormat="1" ht="31.5" x14ac:dyDescent="0.25">
      <c r="A141" s="113"/>
      <c r="B141" s="114"/>
      <c r="C141" s="111">
        <v>0</v>
      </c>
      <c r="D141" s="112">
        <f>+D139+1</f>
        <v>90</v>
      </c>
      <c r="E141" s="63" t="s">
        <v>86</v>
      </c>
      <c r="F141" s="111">
        <v>132</v>
      </c>
      <c r="G141" s="110">
        <f t="shared" ref="G141" si="49">+C141-F141</f>
        <v>-132</v>
      </c>
    </row>
    <row r="142" spans="1:7" s="2" customFormat="1" ht="6.75" customHeight="1" x14ac:dyDescent="0.25">
      <c r="A142" s="83"/>
      <c r="B142" s="78"/>
      <c r="C142" s="97"/>
      <c r="D142" s="73"/>
      <c r="E142" s="74"/>
      <c r="F142" s="97"/>
      <c r="G142" s="79"/>
    </row>
    <row r="143" spans="1:7" s="86" customFormat="1" x14ac:dyDescent="0.25">
      <c r="A143" s="113">
        <f>+A137+1</f>
        <v>71</v>
      </c>
      <c r="B143" s="54" t="s">
        <v>195</v>
      </c>
      <c r="C143" s="111">
        <f>+$F$143-($F$143*0.3)</f>
        <v>17.5</v>
      </c>
      <c r="D143" s="112">
        <f>+D141+1</f>
        <v>91</v>
      </c>
      <c r="E143" s="54" t="s">
        <v>195</v>
      </c>
      <c r="F143" s="111">
        <v>25</v>
      </c>
      <c r="G143" s="110">
        <f t="shared" ref="G143" si="50">+C143-F143</f>
        <v>-7.5</v>
      </c>
    </row>
    <row r="144" spans="1:7" s="2" customFormat="1" ht="6.75" customHeight="1" x14ac:dyDescent="0.25">
      <c r="A144" s="83"/>
      <c r="B144" s="78"/>
      <c r="C144" s="97"/>
      <c r="D144" s="73"/>
      <c r="E144" s="74"/>
      <c r="F144" s="97"/>
      <c r="G144" s="79"/>
    </row>
    <row r="145" spans="1:7" s="61" customFormat="1" x14ac:dyDescent="0.25">
      <c r="A145" s="113">
        <f>+A143+1</f>
        <v>72</v>
      </c>
      <c r="B145" s="54" t="s">
        <v>10</v>
      </c>
      <c r="C145" s="111">
        <f>+$F$145-($F$145*0.35)</f>
        <v>100.75</v>
      </c>
      <c r="D145" s="112">
        <f>+D143+1</f>
        <v>92</v>
      </c>
      <c r="E145" s="54" t="s">
        <v>10</v>
      </c>
      <c r="F145" s="111">
        <v>155</v>
      </c>
      <c r="G145" s="110">
        <f t="shared" ref="G145" si="51">+C145-F145</f>
        <v>-54.25</v>
      </c>
    </row>
    <row r="146" spans="1:7" s="2" customFormat="1" ht="6.75" customHeight="1" x14ac:dyDescent="0.25">
      <c r="A146" s="83"/>
      <c r="B146" s="78"/>
      <c r="C146" s="97"/>
      <c r="D146" s="73"/>
      <c r="E146" s="74"/>
      <c r="F146" s="97"/>
      <c r="G146" s="79"/>
    </row>
    <row r="147" spans="1:7" s="61" customFormat="1" ht="31.5" x14ac:dyDescent="0.25">
      <c r="A147" s="113">
        <f>+A145+1</f>
        <v>73</v>
      </c>
      <c r="B147" s="54" t="s">
        <v>197</v>
      </c>
      <c r="C147" s="111">
        <f>+$F$147-($F$147*0.35)</f>
        <v>21.450000000000003</v>
      </c>
      <c r="D147" s="112">
        <f>+D145+1</f>
        <v>93</v>
      </c>
      <c r="E147" s="54" t="s">
        <v>196</v>
      </c>
      <c r="F147" s="111">
        <v>33</v>
      </c>
      <c r="G147" s="110">
        <f t="shared" ref="G147" si="52">+C147-F147</f>
        <v>-11.549999999999997</v>
      </c>
    </row>
    <row r="148" spans="1:7" s="2" customFormat="1" ht="6.75" customHeight="1" x14ac:dyDescent="0.25">
      <c r="A148" s="83"/>
      <c r="B148" s="78"/>
      <c r="C148" s="97"/>
      <c r="D148" s="73"/>
      <c r="E148" s="74"/>
      <c r="F148" s="97"/>
      <c r="G148" s="79"/>
    </row>
    <row r="149" spans="1:7" s="3" customFormat="1" ht="31.5" x14ac:dyDescent="0.25">
      <c r="A149" s="113">
        <f>+A147+1</f>
        <v>74</v>
      </c>
      <c r="B149" s="54" t="s">
        <v>203</v>
      </c>
      <c r="C149" s="111">
        <f>+$F$149-($F$149*0.35)</f>
        <v>11.7</v>
      </c>
      <c r="D149" s="112">
        <f>+D147+1</f>
        <v>94</v>
      </c>
      <c r="E149" s="54" t="s">
        <v>202</v>
      </c>
      <c r="F149" s="111">
        <v>18</v>
      </c>
      <c r="G149" s="110">
        <f t="shared" ref="G149" si="53">+C149-F149</f>
        <v>-6.3000000000000007</v>
      </c>
    </row>
  </sheetData>
  <mergeCells count="38">
    <mergeCell ref="A113:A114"/>
    <mergeCell ref="B113:B114"/>
    <mergeCell ref="C113:C114"/>
    <mergeCell ref="G113:G114"/>
    <mergeCell ref="A76:A77"/>
    <mergeCell ref="B76:B77"/>
    <mergeCell ref="C76:C77"/>
    <mergeCell ref="G76:G77"/>
    <mergeCell ref="A43:A44"/>
    <mergeCell ref="B43:B44"/>
    <mergeCell ref="C43:C44"/>
    <mergeCell ref="G43:G44"/>
    <mergeCell ref="A51:A52"/>
    <mergeCell ref="B51:B52"/>
    <mergeCell ref="C51:C52"/>
    <mergeCell ref="G51:G52"/>
    <mergeCell ref="A36:A37"/>
    <mergeCell ref="B36:B37"/>
    <mergeCell ref="C36:C37"/>
    <mergeCell ref="G36:G37"/>
    <mergeCell ref="A39:A41"/>
    <mergeCell ref="B39:B41"/>
    <mergeCell ref="C39:C41"/>
    <mergeCell ref="G39:G41"/>
    <mergeCell ref="A16:A17"/>
    <mergeCell ref="B16:B17"/>
    <mergeCell ref="C16:C17"/>
    <mergeCell ref="G16:G17"/>
    <mergeCell ref="A33:A34"/>
    <mergeCell ref="B33:B34"/>
    <mergeCell ref="C33:C34"/>
    <mergeCell ref="G33:G34"/>
    <mergeCell ref="A2:G2"/>
    <mergeCell ref="B3:D3"/>
    <mergeCell ref="E3:F3"/>
    <mergeCell ref="A4:C4"/>
    <mergeCell ref="D4:F4"/>
    <mergeCell ref="G4:G5"/>
  </mergeCells>
  <printOptions horizontalCentered="1"/>
  <pageMargins left="0.19685039370078741" right="0.19685039370078741" top="0.39370078740157483" bottom="0.19685039370078741" header="0.31496062992125984" footer="0.31496062992125984"/>
  <pageSetup paperSize="12" scale="81" orientation="landscape" r:id="rId1"/>
  <headerFooter differentFirst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8"/>
  <sheetViews>
    <sheetView tabSelected="1" view="pageBreakPreview" zoomScale="85" zoomScaleNormal="85" zoomScaleSheetLayoutView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4" sqref="E14"/>
    </sheetView>
  </sheetViews>
  <sheetFormatPr defaultRowHeight="17.25" x14ac:dyDescent="0.3"/>
  <cols>
    <col min="1" max="1" width="4.85546875" style="120" customWidth="1"/>
    <col min="2" max="2" width="63.85546875" style="118" customWidth="1"/>
    <col min="3" max="3" width="22.85546875" style="131" customWidth="1"/>
    <col min="4" max="4" width="30.140625" style="118" customWidth="1"/>
    <col min="5" max="5" width="20.7109375" style="118" customWidth="1"/>
    <col min="6" max="6" width="19.85546875" style="118" customWidth="1"/>
    <col min="7" max="7" width="18.28515625" style="118" customWidth="1"/>
    <col min="8" max="8" width="13.5703125" style="118" customWidth="1"/>
    <col min="9" max="9" width="19.85546875" style="118" customWidth="1"/>
    <col min="10" max="10" width="13.5703125" style="118" customWidth="1"/>
    <col min="11" max="11" width="10.5703125" style="120" customWidth="1" collapsed="1"/>
    <col min="12" max="206" width="9.140625" style="118"/>
    <col min="207" max="207" width="4.85546875" style="118" customWidth="1"/>
    <col min="208" max="208" width="63.85546875" style="118" customWidth="1"/>
    <col min="209" max="209" width="22.85546875" style="118" customWidth="1"/>
    <col min="210" max="210" width="32.140625" style="118" customWidth="1"/>
    <col min="211" max="211" width="24.85546875" style="118" customWidth="1"/>
    <col min="212" max="212" width="19.85546875" style="118" customWidth="1"/>
    <col min="213" max="213" width="18.28515625" style="118" customWidth="1"/>
    <col min="214" max="214" width="13.5703125" style="118" customWidth="1"/>
    <col min="215" max="215" width="19.85546875" style="118" customWidth="1"/>
    <col min="216" max="216" width="13.5703125" style="118" customWidth="1"/>
    <col min="217" max="217" width="10.5703125" style="118" customWidth="1"/>
    <col min="218" max="218" width="13.140625" style="118" customWidth="1"/>
    <col min="219" max="219" width="10" style="118" customWidth="1"/>
    <col min="220" max="224" width="8" style="118" customWidth="1"/>
    <col min="225" max="225" width="9.140625" style="118" customWidth="1"/>
    <col min="226" max="226" width="14" style="118" customWidth="1"/>
    <col min="227" max="227" width="16.5703125" style="118" customWidth="1"/>
    <col min="228" max="228" width="12.7109375" style="118" customWidth="1"/>
    <col min="229" max="229" width="9.5703125" style="118" customWidth="1"/>
    <col min="230" max="232" width="9.140625" style="118" customWidth="1"/>
    <col min="233" max="462" width="9.140625" style="118"/>
    <col min="463" max="463" width="4.85546875" style="118" customWidth="1"/>
    <col min="464" max="464" width="63.85546875" style="118" customWidth="1"/>
    <col min="465" max="465" width="22.85546875" style="118" customWidth="1"/>
    <col min="466" max="466" width="32.140625" style="118" customWidth="1"/>
    <col min="467" max="467" width="24.85546875" style="118" customWidth="1"/>
    <col min="468" max="468" width="19.85546875" style="118" customWidth="1"/>
    <col min="469" max="469" width="18.28515625" style="118" customWidth="1"/>
    <col min="470" max="470" width="13.5703125" style="118" customWidth="1"/>
    <col min="471" max="471" width="19.85546875" style="118" customWidth="1"/>
    <col min="472" max="472" width="13.5703125" style="118" customWidth="1"/>
    <col min="473" max="473" width="10.5703125" style="118" customWidth="1"/>
    <col min="474" max="474" width="13.140625" style="118" customWidth="1"/>
    <col min="475" max="475" width="10" style="118" customWidth="1"/>
    <col min="476" max="480" width="8" style="118" customWidth="1"/>
    <col min="481" max="481" width="9.140625" style="118" customWidth="1"/>
    <col min="482" max="482" width="14" style="118" customWidth="1"/>
    <col min="483" max="483" width="16.5703125" style="118" customWidth="1"/>
    <col min="484" max="484" width="12.7109375" style="118" customWidth="1"/>
    <col min="485" max="485" width="9.5703125" style="118" customWidth="1"/>
    <col min="486" max="488" width="9.140625" style="118" customWidth="1"/>
    <col min="489" max="718" width="9.140625" style="118"/>
    <col min="719" max="719" width="4.85546875" style="118" customWidth="1"/>
    <col min="720" max="720" width="63.85546875" style="118" customWidth="1"/>
    <col min="721" max="721" width="22.85546875" style="118" customWidth="1"/>
    <col min="722" max="722" width="32.140625" style="118" customWidth="1"/>
    <col min="723" max="723" width="24.85546875" style="118" customWidth="1"/>
    <col min="724" max="724" width="19.85546875" style="118" customWidth="1"/>
    <col min="725" max="725" width="18.28515625" style="118" customWidth="1"/>
    <col min="726" max="726" width="13.5703125" style="118" customWidth="1"/>
    <col min="727" max="727" width="19.85546875" style="118" customWidth="1"/>
    <col min="728" max="728" width="13.5703125" style="118" customWidth="1"/>
    <col min="729" max="729" width="10.5703125" style="118" customWidth="1"/>
    <col min="730" max="730" width="13.140625" style="118" customWidth="1"/>
    <col min="731" max="731" width="10" style="118" customWidth="1"/>
    <col min="732" max="736" width="8" style="118" customWidth="1"/>
    <col min="737" max="737" width="9.140625" style="118" customWidth="1"/>
    <col min="738" max="738" width="14" style="118" customWidth="1"/>
    <col min="739" max="739" width="16.5703125" style="118" customWidth="1"/>
    <col min="740" max="740" width="12.7109375" style="118" customWidth="1"/>
    <col min="741" max="741" width="9.5703125" style="118" customWidth="1"/>
    <col min="742" max="744" width="9.140625" style="118" customWidth="1"/>
    <col min="745" max="974" width="9.140625" style="118"/>
    <col min="975" max="975" width="4.85546875" style="118" customWidth="1"/>
    <col min="976" max="976" width="63.85546875" style="118" customWidth="1"/>
    <col min="977" max="977" width="22.85546875" style="118" customWidth="1"/>
    <col min="978" max="978" width="32.140625" style="118" customWidth="1"/>
    <col min="979" max="979" width="24.85546875" style="118" customWidth="1"/>
    <col min="980" max="980" width="19.85546875" style="118" customWidth="1"/>
    <col min="981" max="981" width="18.28515625" style="118" customWidth="1"/>
    <col min="982" max="982" width="13.5703125" style="118" customWidth="1"/>
    <col min="983" max="983" width="19.85546875" style="118" customWidth="1"/>
    <col min="984" max="984" width="13.5703125" style="118" customWidth="1"/>
    <col min="985" max="985" width="10.5703125" style="118" customWidth="1"/>
    <col min="986" max="986" width="13.140625" style="118" customWidth="1"/>
    <col min="987" max="987" width="10" style="118" customWidth="1"/>
    <col min="988" max="992" width="8" style="118" customWidth="1"/>
    <col min="993" max="993" width="9.140625" style="118" customWidth="1"/>
    <col min="994" max="994" width="14" style="118" customWidth="1"/>
    <col min="995" max="995" width="16.5703125" style="118" customWidth="1"/>
    <col min="996" max="996" width="12.7109375" style="118" customWidth="1"/>
    <col min="997" max="997" width="9.5703125" style="118" customWidth="1"/>
    <col min="998" max="1000" width="9.140625" style="118" customWidth="1"/>
    <col min="1001" max="1230" width="9.140625" style="118"/>
    <col min="1231" max="1231" width="4.85546875" style="118" customWidth="1"/>
    <col min="1232" max="1232" width="63.85546875" style="118" customWidth="1"/>
    <col min="1233" max="1233" width="22.85546875" style="118" customWidth="1"/>
    <col min="1234" max="1234" width="32.140625" style="118" customWidth="1"/>
    <col min="1235" max="1235" width="24.85546875" style="118" customWidth="1"/>
    <col min="1236" max="1236" width="19.85546875" style="118" customWidth="1"/>
    <col min="1237" max="1237" width="18.28515625" style="118" customWidth="1"/>
    <col min="1238" max="1238" width="13.5703125" style="118" customWidth="1"/>
    <col min="1239" max="1239" width="19.85546875" style="118" customWidth="1"/>
    <col min="1240" max="1240" width="13.5703125" style="118" customWidth="1"/>
    <col min="1241" max="1241" width="10.5703125" style="118" customWidth="1"/>
    <col min="1242" max="1242" width="13.140625" style="118" customWidth="1"/>
    <col min="1243" max="1243" width="10" style="118" customWidth="1"/>
    <col min="1244" max="1248" width="8" style="118" customWidth="1"/>
    <col min="1249" max="1249" width="9.140625" style="118" customWidth="1"/>
    <col min="1250" max="1250" width="14" style="118" customWidth="1"/>
    <col min="1251" max="1251" width="16.5703125" style="118" customWidth="1"/>
    <col min="1252" max="1252" width="12.7109375" style="118" customWidth="1"/>
    <col min="1253" max="1253" width="9.5703125" style="118" customWidth="1"/>
    <col min="1254" max="1256" width="9.140625" style="118" customWidth="1"/>
    <col min="1257" max="1486" width="9.140625" style="118"/>
    <col min="1487" max="1487" width="4.85546875" style="118" customWidth="1"/>
    <col min="1488" max="1488" width="63.85546875" style="118" customWidth="1"/>
    <col min="1489" max="1489" width="22.85546875" style="118" customWidth="1"/>
    <col min="1490" max="1490" width="32.140625" style="118" customWidth="1"/>
    <col min="1491" max="1491" width="24.85546875" style="118" customWidth="1"/>
    <col min="1492" max="1492" width="19.85546875" style="118" customWidth="1"/>
    <col min="1493" max="1493" width="18.28515625" style="118" customWidth="1"/>
    <col min="1494" max="1494" width="13.5703125" style="118" customWidth="1"/>
    <col min="1495" max="1495" width="19.85546875" style="118" customWidth="1"/>
    <col min="1496" max="1496" width="13.5703125" style="118" customWidth="1"/>
    <col min="1497" max="1497" width="10.5703125" style="118" customWidth="1"/>
    <col min="1498" max="1498" width="13.140625" style="118" customWidth="1"/>
    <col min="1499" max="1499" width="10" style="118" customWidth="1"/>
    <col min="1500" max="1504" width="8" style="118" customWidth="1"/>
    <col min="1505" max="1505" width="9.140625" style="118" customWidth="1"/>
    <col min="1506" max="1506" width="14" style="118" customWidth="1"/>
    <col min="1507" max="1507" width="16.5703125" style="118" customWidth="1"/>
    <col min="1508" max="1508" width="12.7109375" style="118" customWidth="1"/>
    <col min="1509" max="1509" width="9.5703125" style="118" customWidth="1"/>
    <col min="1510" max="1512" width="9.140625" style="118" customWidth="1"/>
    <col min="1513" max="1742" width="9.140625" style="118"/>
    <col min="1743" max="1743" width="4.85546875" style="118" customWidth="1"/>
    <col min="1744" max="1744" width="63.85546875" style="118" customWidth="1"/>
    <col min="1745" max="1745" width="22.85546875" style="118" customWidth="1"/>
    <col min="1746" max="1746" width="32.140625" style="118" customWidth="1"/>
    <col min="1747" max="1747" width="24.85546875" style="118" customWidth="1"/>
    <col min="1748" max="1748" width="19.85546875" style="118" customWidth="1"/>
    <col min="1749" max="1749" width="18.28515625" style="118" customWidth="1"/>
    <col min="1750" max="1750" width="13.5703125" style="118" customWidth="1"/>
    <col min="1751" max="1751" width="19.85546875" style="118" customWidth="1"/>
    <col min="1752" max="1752" width="13.5703125" style="118" customWidth="1"/>
    <col min="1753" max="1753" width="10.5703125" style="118" customWidth="1"/>
    <col min="1754" max="1754" width="13.140625" style="118" customWidth="1"/>
    <col min="1755" max="1755" width="10" style="118" customWidth="1"/>
    <col min="1756" max="1760" width="8" style="118" customWidth="1"/>
    <col min="1761" max="1761" width="9.140625" style="118" customWidth="1"/>
    <col min="1762" max="1762" width="14" style="118" customWidth="1"/>
    <col min="1763" max="1763" width="16.5703125" style="118" customWidth="1"/>
    <col min="1764" max="1764" width="12.7109375" style="118" customWidth="1"/>
    <col min="1765" max="1765" width="9.5703125" style="118" customWidth="1"/>
    <col min="1766" max="1768" width="9.140625" style="118" customWidth="1"/>
    <col min="1769" max="1998" width="9.140625" style="118"/>
    <col min="1999" max="1999" width="4.85546875" style="118" customWidth="1"/>
    <col min="2000" max="2000" width="63.85546875" style="118" customWidth="1"/>
    <col min="2001" max="2001" width="22.85546875" style="118" customWidth="1"/>
    <col min="2002" max="2002" width="32.140625" style="118" customWidth="1"/>
    <col min="2003" max="2003" width="24.85546875" style="118" customWidth="1"/>
    <col min="2004" max="2004" width="19.85546875" style="118" customWidth="1"/>
    <col min="2005" max="2005" width="18.28515625" style="118" customWidth="1"/>
    <col min="2006" max="2006" width="13.5703125" style="118" customWidth="1"/>
    <col min="2007" max="2007" width="19.85546875" style="118" customWidth="1"/>
    <col min="2008" max="2008" width="13.5703125" style="118" customWidth="1"/>
    <col min="2009" max="2009" width="10.5703125" style="118" customWidth="1"/>
    <col min="2010" max="2010" width="13.140625" style="118" customWidth="1"/>
    <col min="2011" max="2011" width="10" style="118" customWidth="1"/>
    <col min="2012" max="2016" width="8" style="118" customWidth="1"/>
    <col min="2017" max="2017" width="9.140625" style="118" customWidth="1"/>
    <col min="2018" max="2018" width="14" style="118" customWidth="1"/>
    <col min="2019" max="2019" width="16.5703125" style="118" customWidth="1"/>
    <col min="2020" max="2020" width="12.7109375" style="118" customWidth="1"/>
    <col min="2021" max="2021" width="9.5703125" style="118" customWidth="1"/>
    <col min="2022" max="2024" width="9.140625" style="118" customWidth="1"/>
    <col min="2025" max="2254" width="9.140625" style="118"/>
    <col min="2255" max="2255" width="4.85546875" style="118" customWidth="1"/>
    <col min="2256" max="2256" width="63.85546875" style="118" customWidth="1"/>
    <col min="2257" max="2257" width="22.85546875" style="118" customWidth="1"/>
    <col min="2258" max="2258" width="32.140625" style="118" customWidth="1"/>
    <col min="2259" max="2259" width="24.85546875" style="118" customWidth="1"/>
    <col min="2260" max="2260" width="19.85546875" style="118" customWidth="1"/>
    <col min="2261" max="2261" width="18.28515625" style="118" customWidth="1"/>
    <col min="2262" max="2262" width="13.5703125" style="118" customWidth="1"/>
    <col min="2263" max="2263" width="19.85546875" style="118" customWidth="1"/>
    <col min="2264" max="2264" width="13.5703125" style="118" customWidth="1"/>
    <col min="2265" max="2265" width="10.5703125" style="118" customWidth="1"/>
    <col min="2266" max="2266" width="13.140625" style="118" customWidth="1"/>
    <col min="2267" max="2267" width="10" style="118" customWidth="1"/>
    <col min="2268" max="2272" width="8" style="118" customWidth="1"/>
    <col min="2273" max="2273" width="9.140625" style="118" customWidth="1"/>
    <col min="2274" max="2274" width="14" style="118" customWidth="1"/>
    <col min="2275" max="2275" width="16.5703125" style="118" customWidth="1"/>
    <col min="2276" max="2276" width="12.7109375" style="118" customWidth="1"/>
    <col min="2277" max="2277" width="9.5703125" style="118" customWidth="1"/>
    <col min="2278" max="2280" width="9.140625" style="118" customWidth="1"/>
    <col min="2281" max="2510" width="9.140625" style="118"/>
    <col min="2511" max="2511" width="4.85546875" style="118" customWidth="1"/>
    <col min="2512" max="2512" width="63.85546875" style="118" customWidth="1"/>
    <col min="2513" max="2513" width="22.85546875" style="118" customWidth="1"/>
    <col min="2514" max="2514" width="32.140625" style="118" customWidth="1"/>
    <col min="2515" max="2515" width="24.85546875" style="118" customWidth="1"/>
    <col min="2516" max="2516" width="19.85546875" style="118" customWidth="1"/>
    <col min="2517" max="2517" width="18.28515625" style="118" customWidth="1"/>
    <col min="2518" max="2518" width="13.5703125" style="118" customWidth="1"/>
    <col min="2519" max="2519" width="19.85546875" style="118" customWidth="1"/>
    <col min="2520" max="2520" width="13.5703125" style="118" customWidth="1"/>
    <col min="2521" max="2521" width="10.5703125" style="118" customWidth="1"/>
    <col min="2522" max="2522" width="13.140625" style="118" customWidth="1"/>
    <col min="2523" max="2523" width="10" style="118" customWidth="1"/>
    <col min="2524" max="2528" width="8" style="118" customWidth="1"/>
    <col min="2529" max="2529" width="9.140625" style="118" customWidth="1"/>
    <col min="2530" max="2530" width="14" style="118" customWidth="1"/>
    <col min="2531" max="2531" width="16.5703125" style="118" customWidth="1"/>
    <col min="2532" max="2532" width="12.7109375" style="118" customWidth="1"/>
    <col min="2533" max="2533" width="9.5703125" style="118" customWidth="1"/>
    <col min="2534" max="2536" width="9.140625" style="118" customWidth="1"/>
    <col min="2537" max="2766" width="9.140625" style="118"/>
    <col min="2767" max="2767" width="4.85546875" style="118" customWidth="1"/>
    <col min="2768" max="2768" width="63.85546875" style="118" customWidth="1"/>
    <col min="2769" max="2769" width="22.85546875" style="118" customWidth="1"/>
    <col min="2770" max="2770" width="32.140625" style="118" customWidth="1"/>
    <col min="2771" max="2771" width="24.85546875" style="118" customWidth="1"/>
    <col min="2772" max="2772" width="19.85546875" style="118" customWidth="1"/>
    <col min="2773" max="2773" width="18.28515625" style="118" customWidth="1"/>
    <col min="2774" max="2774" width="13.5703125" style="118" customWidth="1"/>
    <col min="2775" max="2775" width="19.85546875" style="118" customWidth="1"/>
    <col min="2776" max="2776" width="13.5703125" style="118" customWidth="1"/>
    <col min="2777" max="2777" width="10.5703125" style="118" customWidth="1"/>
    <col min="2778" max="2778" width="13.140625" style="118" customWidth="1"/>
    <col min="2779" max="2779" width="10" style="118" customWidth="1"/>
    <col min="2780" max="2784" width="8" style="118" customWidth="1"/>
    <col min="2785" max="2785" width="9.140625" style="118" customWidth="1"/>
    <col min="2786" max="2786" width="14" style="118" customWidth="1"/>
    <col min="2787" max="2787" width="16.5703125" style="118" customWidth="1"/>
    <col min="2788" max="2788" width="12.7109375" style="118" customWidth="1"/>
    <col min="2789" max="2789" width="9.5703125" style="118" customWidth="1"/>
    <col min="2790" max="2792" width="9.140625" style="118" customWidth="1"/>
    <col min="2793" max="3022" width="9.140625" style="118"/>
    <col min="3023" max="3023" width="4.85546875" style="118" customWidth="1"/>
    <col min="3024" max="3024" width="63.85546875" style="118" customWidth="1"/>
    <col min="3025" max="3025" width="22.85546875" style="118" customWidth="1"/>
    <col min="3026" max="3026" width="32.140625" style="118" customWidth="1"/>
    <col min="3027" max="3027" width="24.85546875" style="118" customWidth="1"/>
    <col min="3028" max="3028" width="19.85546875" style="118" customWidth="1"/>
    <col min="3029" max="3029" width="18.28515625" style="118" customWidth="1"/>
    <col min="3030" max="3030" width="13.5703125" style="118" customWidth="1"/>
    <col min="3031" max="3031" width="19.85546875" style="118" customWidth="1"/>
    <col min="3032" max="3032" width="13.5703125" style="118" customWidth="1"/>
    <col min="3033" max="3033" width="10.5703125" style="118" customWidth="1"/>
    <col min="3034" max="3034" width="13.140625" style="118" customWidth="1"/>
    <col min="3035" max="3035" width="10" style="118" customWidth="1"/>
    <col min="3036" max="3040" width="8" style="118" customWidth="1"/>
    <col min="3041" max="3041" width="9.140625" style="118" customWidth="1"/>
    <col min="3042" max="3042" width="14" style="118" customWidth="1"/>
    <col min="3043" max="3043" width="16.5703125" style="118" customWidth="1"/>
    <col min="3044" max="3044" width="12.7109375" style="118" customWidth="1"/>
    <col min="3045" max="3045" width="9.5703125" style="118" customWidth="1"/>
    <col min="3046" max="3048" width="9.140625" style="118" customWidth="1"/>
    <col min="3049" max="3278" width="9.140625" style="118"/>
    <col min="3279" max="3279" width="4.85546875" style="118" customWidth="1"/>
    <col min="3280" max="3280" width="63.85546875" style="118" customWidth="1"/>
    <col min="3281" max="3281" width="22.85546875" style="118" customWidth="1"/>
    <col min="3282" max="3282" width="32.140625" style="118" customWidth="1"/>
    <col min="3283" max="3283" width="24.85546875" style="118" customWidth="1"/>
    <col min="3284" max="3284" width="19.85546875" style="118" customWidth="1"/>
    <col min="3285" max="3285" width="18.28515625" style="118" customWidth="1"/>
    <col min="3286" max="3286" width="13.5703125" style="118" customWidth="1"/>
    <col min="3287" max="3287" width="19.85546875" style="118" customWidth="1"/>
    <col min="3288" max="3288" width="13.5703125" style="118" customWidth="1"/>
    <col min="3289" max="3289" width="10.5703125" style="118" customWidth="1"/>
    <col min="3290" max="3290" width="13.140625" style="118" customWidth="1"/>
    <col min="3291" max="3291" width="10" style="118" customWidth="1"/>
    <col min="3292" max="3296" width="8" style="118" customWidth="1"/>
    <col min="3297" max="3297" width="9.140625" style="118" customWidth="1"/>
    <col min="3298" max="3298" width="14" style="118" customWidth="1"/>
    <col min="3299" max="3299" width="16.5703125" style="118" customWidth="1"/>
    <col min="3300" max="3300" width="12.7109375" style="118" customWidth="1"/>
    <col min="3301" max="3301" width="9.5703125" style="118" customWidth="1"/>
    <col min="3302" max="3304" width="9.140625" style="118" customWidth="1"/>
    <col min="3305" max="3534" width="9.140625" style="118"/>
    <col min="3535" max="3535" width="4.85546875" style="118" customWidth="1"/>
    <col min="3536" max="3536" width="63.85546875" style="118" customWidth="1"/>
    <col min="3537" max="3537" width="22.85546875" style="118" customWidth="1"/>
    <col min="3538" max="3538" width="32.140625" style="118" customWidth="1"/>
    <col min="3539" max="3539" width="24.85546875" style="118" customWidth="1"/>
    <col min="3540" max="3540" width="19.85546875" style="118" customWidth="1"/>
    <col min="3541" max="3541" width="18.28515625" style="118" customWidth="1"/>
    <col min="3542" max="3542" width="13.5703125" style="118" customWidth="1"/>
    <col min="3543" max="3543" width="19.85546875" style="118" customWidth="1"/>
    <col min="3544" max="3544" width="13.5703125" style="118" customWidth="1"/>
    <col min="3545" max="3545" width="10.5703125" style="118" customWidth="1"/>
    <col min="3546" max="3546" width="13.140625" style="118" customWidth="1"/>
    <col min="3547" max="3547" width="10" style="118" customWidth="1"/>
    <col min="3548" max="3552" width="8" style="118" customWidth="1"/>
    <col min="3553" max="3553" width="9.140625" style="118" customWidth="1"/>
    <col min="3554" max="3554" width="14" style="118" customWidth="1"/>
    <col min="3555" max="3555" width="16.5703125" style="118" customWidth="1"/>
    <col min="3556" max="3556" width="12.7109375" style="118" customWidth="1"/>
    <col min="3557" max="3557" width="9.5703125" style="118" customWidth="1"/>
    <col min="3558" max="3560" width="9.140625" style="118" customWidth="1"/>
    <col min="3561" max="3790" width="9.140625" style="118"/>
    <col min="3791" max="3791" width="4.85546875" style="118" customWidth="1"/>
    <col min="3792" max="3792" width="63.85546875" style="118" customWidth="1"/>
    <col min="3793" max="3793" width="22.85546875" style="118" customWidth="1"/>
    <col min="3794" max="3794" width="32.140625" style="118" customWidth="1"/>
    <col min="3795" max="3795" width="24.85546875" style="118" customWidth="1"/>
    <col min="3796" max="3796" width="19.85546875" style="118" customWidth="1"/>
    <col min="3797" max="3797" width="18.28515625" style="118" customWidth="1"/>
    <col min="3798" max="3798" width="13.5703125" style="118" customWidth="1"/>
    <col min="3799" max="3799" width="19.85546875" style="118" customWidth="1"/>
    <col min="3800" max="3800" width="13.5703125" style="118" customWidth="1"/>
    <col min="3801" max="3801" width="10.5703125" style="118" customWidth="1"/>
    <col min="3802" max="3802" width="13.140625" style="118" customWidth="1"/>
    <col min="3803" max="3803" width="10" style="118" customWidth="1"/>
    <col min="3804" max="3808" width="8" style="118" customWidth="1"/>
    <col min="3809" max="3809" width="9.140625" style="118" customWidth="1"/>
    <col min="3810" max="3810" width="14" style="118" customWidth="1"/>
    <col min="3811" max="3811" width="16.5703125" style="118" customWidth="1"/>
    <col min="3812" max="3812" width="12.7109375" style="118" customWidth="1"/>
    <col min="3813" max="3813" width="9.5703125" style="118" customWidth="1"/>
    <col min="3814" max="3816" width="9.140625" style="118" customWidth="1"/>
    <col min="3817" max="4046" width="9.140625" style="118"/>
    <col min="4047" max="4047" width="4.85546875" style="118" customWidth="1"/>
    <col min="4048" max="4048" width="63.85546875" style="118" customWidth="1"/>
    <col min="4049" max="4049" width="22.85546875" style="118" customWidth="1"/>
    <col min="4050" max="4050" width="32.140625" style="118" customWidth="1"/>
    <col min="4051" max="4051" width="24.85546875" style="118" customWidth="1"/>
    <col min="4052" max="4052" width="19.85546875" style="118" customWidth="1"/>
    <col min="4053" max="4053" width="18.28515625" style="118" customWidth="1"/>
    <col min="4054" max="4054" width="13.5703125" style="118" customWidth="1"/>
    <col min="4055" max="4055" width="19.85546875" style="118" customWidth="1"/>
    <col min="4056" max="4056" width="13.5703125" style="118" customWidth="1"/>
    <col min="4057" max="4057" width="10.5703125" style="118" customWidth="1"/>
    <col min="4058" max="4058" width="13.140625" style="118" customWidth="1"/>
    <col min="4059" max="4059" width="10" style="118" customWidth="1"/>
    <col min="4060" max="4064" width="8" style="118" customWidth="1"/>
    <col min="4065" max="4065" width="9.140625" style="118" customWidth="1"/>
    <col min="4066" max="4066" width="14" style="118" customWidth="1"/>
    <col min="4067" max="4067" width="16.5703125" style="118" customWidth="1"/>
    <col min="4068" max="4068" width="12.7109375" style="118" customWidth="1"/>
    <col min="4069" max="4069" width="9.5703125" style="118" customWidth="1"/>
    <col min="4070" max="4072" width="9.140625" style="118" customWidth="1"/>
    <col min="4073" max="4302" width="9.140625" style="118"/>
    <col min="4303" max="4303" width="4.85546875" style="118" customWidth="1"/>
    <col min="4304" max="4304" width="63.85546875" style="118" customWidth="1"/>
    <col min="4305" max="4305" width="22.85546875" style="118" customWidth="1"/>
    <col min="4306" max="4306" width="32.140625" style="118" customWidth="1"/>
    <col min="4307" max="4307" width="24.85546875" style="118" customWidth="1"/>
    <col min="4308" max="4308" width="19.85546875" style="118" customWidth="1"/>
    <col min="4309" max="4309" width="18.28515625" style="118" customWidth="1"/>
    <col min="4310" max="4310" width="13.5703125" style="118" customWidth="1"/>
    <col min="4311" max="4311" width="19.85546875" style="118" customWidth="1"/>
    <col min="4312" max="4312" width="13.5703125" style="118" customWidth="1"/>
    <col min="4313" max="4313" width="10.5703125" style="118" customWidth="1"/>
    <col min="4314" max="4314" width="13.140625" style="118" customWidth="1"/>
    <col min="4315" max="4315" width="10" style="118" customWidth="1"/>
    <col min="4316" max="4320" width="8" style="118" customWidth="1"/>
    <col min="4321" max="4321" width="9.140625" style="118" customWidth="1"/>
    <col min="4322" max="4322" width="14" style="118" customWidth="1"/>
    <col min="4323" max="4323" width="16.5703125" style="118" customWidth="1"/>
    <col min="4324" max="4324" width="12.7109375" style="118" customWidth="1"/>
    <col min="4325" max="4325" width="9.5703125" style="118" customWidth="1"/>
    <col min="4326" max="4328" width="9.140625" style="118" customWidth="1"/>
    <col min="4329" max="4558" width="9.140625" style="118"/>
    <col min="4559" max="4559" width="4.85546875" style="118" customWidth="1"/>
    <col min="4560" max="4560" width="63.85546875" style="118" customWidth="1"/>
    <col min="4561" max="4561" width="22.85546875" style="118" customWidth="1"/>
    <col min="4562" max="4562" width="32.140625" style="118" customWidth="1"/>
    <col min="4563" max="4563" width="24.85546875" style="118" customWidth="1"/>
    <col min="4564" max="4564" width="19.85546875" style="118" customWidth="1"/>
    <col min="4565" max="4565" width="18.28515625" style="118" customWidth="1"/>
    <col min="4566" max="4566" width="13.5703125" style="118" customWidth="1"/>
    <col min="4567" max="4567" width="19.85546875" style="118" customWidth="1"/>
    <col min="4568" max="4568" width="13.5703125" style="118" customWidth="1"/>
    <col min="4569" max="4569" width="10.5703125" style="118" customWidth="1"/>
    <col min="4570" max="4570" width="13.140625" style="118" customWidth="1"/>
    <col min="4571" max="4571" width="10" style="118" customWidth="1"/>
    <col min="4572" max="4576" width="8" style="118" customWidth="1"/>
    <col min="4577" max="4577" width="9.140625" style="118" customWidth="1"/>
    <col min="4578" max="4578" width="14" style="118" customWidth="1"/>
    <col min="4579" max="4579" width="16.5703125" style="118" customWidth="1"/>
    <col min="4580" max="4580" width="12.7109375" style="118" customWidth="1"/>
    <col min="4581" max="4581" width="9.5703125" style="118" customWidth="1"/>
    <col min="4582" max="4584" width="9.140625" style="118" customWidth="1"/>
    <col min="4585" max="4814" width="9.140625" style="118"/>
    <col min="4815" max="4815" width="4.85546875" style="118" customWidth="1"/>
    <col min="4816" max="4816" width="63.85546875" style="118" customWidth="1"/>
    <col min="4817" max="4817" width="22.85546875" style="118" customWidth="1"/>
    <col min="4818" max="4818" width="32.140625" style="118" customWidth="1"/>
    <col min="4819" max="4819" width="24.85546875" style="118" customWidth="1"/>
    <col min="4820" max="4820" width="19.85546875" style="118" customWidth="1"/>
    <col min="4821" max="4821" width="18.28515625" style="118" customWidth="1"/>
    <col min="4822" max="4822" width="13.5703125" style="118" customWidth="1"/>
    <col min="4823" max="4823" width="19.85546875" style="118" customWidth="1"/>
    <col min="4824" max="4824" width="13.5703125" style="118" customWidth="1"/>
    <col min="4825" max="4825" width="10.5703125" style="118" customWidth="1"/>
    <col min="4826" max="4826" width="13.140625" style="118" customWidth="1"/>
    <col min="4827" max="4827" width="10" style="118" customWidth="1"/>
    <col min="4828" max="4832" width="8" style="118" customWidth="1"/>
    <col min="4833" max="4833" width="9.140625" style="118" customWidth="1"/>
    <col min="4834" max="4834" width="14" style="118" customWidth="1"/>
    <col min="4835" max="4835" width="16.5703125" style="118" customWidth="1"/>
    <col min="4836" max="4836" width="12.7109375" style="118" customWidth="1"/>
    <col min="4837" max="4837" width="9.5703125" style="118" customWidth="1"/>
    <col min="4838" max="4840" width="9.140625" style="118" customWidth="1"/>
    <col min="4841" max="5070" width="9.140625" style="118"/>
    <col min="5071" max="5071" width="4.85546875" style="118" customWidth="1"/>
    <col min="5072" max="5072" width="63.85546875" style="118" customWidth="1"/>
    <col min="5073" max="5073" width="22.85546875" style="118" customWidth="1"/>
    <col min="5074" max="5074" width="32.140625" style="118" customWidth="1"/>
    <col min="5075" max="5075" width="24.85546875" style="118" customWidth="1"/>
    <col min="5076" max="5076" width="19.85546875" style="118" customWidth="1"/>
    <col min="5077" max="5077" width="18.28515625" style="118" customWidth="1"/>
    <col min="5078" max="5078" width="13.5703125" style="118" customWidth="1"/>
    <col min="5079" max="5079" width="19.85546875" style="118" customWidth="1"/>
    <col min="5080" max="5080" width="13.5703125" style="118" customWidth="1"/>
    <col min="5081" max="5081" width="10.5703125" style="118" customWidth="1"/>
    <col min="5082" max="5082" width="13.140625" style="118" customWidth="1"/>
    <col min="5083" max="5083" width="10" style="118" customWidth="1"/>
    <col min="5084" max="5088" width="8" style="118" customWidth="1"/>
    <col min="5089" max="5089" width="9.140625" style="118" customWidth="1"/>
    <col min="5090" max="5090" width="14" style="118" customWidth="1"/>
    <col min="5091" max="5091" width="16.5703125" style="118" customWidth="1"/>
    <col min="5092" max="5092" width="12.7109375" style="118" customWidth="1"/>
    <col min="5093" max="5093" width="9.5703125" style="118" customWidth="1"/>
    <col min="5094" max="5096" width="9.140625" style="118" customWidth="1"/>
    <col min="5097" max="5326" width="9.140625" style="118"/>
    <col min="5327" max="5327" width="4.85546875" style="118" customWidth="1"/>
    <col min="5328" max="5328" width="63.85546875" style="118" customWidth="1"/>
    <col min="5329" max="5329" width="22.85546875" style="118" customWidth="1"/>
    <col min="5330" max="5330" width="32.140625" style="118" customWidth="1"/>
    <col min="5331" max="5331" width="24.85546875" style="118" customWidth="1"/>
    <col min="5332" max="5332" width="19.85546875" style="118" customWidth="1"/>
    <col min="5333" max="5333" width="18.28515625" style="118" customWidth="1"/>
    <col min="5334" max="5334" width="13.5703125" style="118" customWidth="1"/>
    <col min="5335" max="5335" width="19.85546875" style="118" customWidth="1"/>
    <col min="5336" max="5336" width="13.5703125" style="118" customWidth="1"/>
    <col min="5337" max="5337" width="10.5703125" style="118" customWidth="1"/>
    <col min="5338" max="5338" width="13.140625" style="118" customWidth="1"/>
    <col min="5339" max="5339" width="10" style="118" customWidth="1"/>
    <col min="5340" max="5344" width="8" style="118" customWidth="1"/>
    <col min="5345" max="5345" width="9.140625" style="118" customWidth="1"/>
    <col min="5346" max="5346" width="14" style="118" customWidth="1"/>
    <col min="5347" max="5347" width="16.5703125" style="118" customWidth="1"/>
    <col min="5348" max="5348" width="12.7109375" style="118" customWidth="1"/>
    <col min="5349" max="5349" width="9.5703125" style="118" customWidth="1"/>
    <col min="5350" max="5352" width="9.140625" style="118" customWidth="1"/>
    <col min="5353" max="5582" width="9.140625" style="118"/>
    <col min="5583" max="5583" width="4.85546875" style="118" customWidth="1"/>
    <col min="5584" max="5584" width="63.85546875" style="118" customWidth="1"/>
    <col min="5585" max="5585" width="22.85546875" style="118" customWidth="1"/>
    <col min="5586" max="5586" width="32.140625" style="118" customWidth="1"/>
    <col min="5587" max="5587" width="24.85546875" style="118" customWidth="1"/>
    <col min="5588" max="5588" width="19.85546875" style="118" customWidth="1"/>
    <col min="5589" max="5589" width="18.28515625" style="118" customWidth="1"/>
    <col min="5590" max="5590" width="13.5703125" style="118" customWidth="1"/>
    <col min="5591" max="5591" width="19.85546875" style="118" customWidth="1"/>
    <col min="5592" max="5592" width="13.5703125" style="118" customWidth="1"/>
    <col min="5593" max="5593" width="10.5703125" style="118" customWidth="1"/>
    <col min="5594" max="5594" width="13.140625" style="118" customWidth="1"/>
    <col min="5595" max="5595" width="10" style="118" customWidth="1"/>
    <col min="5596" max="5600" width="8" style="118" customWidth="1"/>
    <col min="5601" max="5601" width="9.140625" style="118" customWidth="1"/>
    <col min="5602" max="5602" width="14" style="118" customWidth="1"/>
    <col min="5603" max="5603" width="16.5703125" style="118" customWidth="1"/>
    <col min="5604" max="5604" width="12.7109375" style="118" customWidth="1"/>
    <col min="5605" max="5605" width="9.5703125" style="118" customWidth="1"/>
    <col min="5606" max="5608" width="9.140625" style="118" customWidth="1"/>
    <col min="5609" max="5838" width="9.140625" style="118"/>
    <col min="5839" max="5839" width="4.85546875" style="118" customWidth="1"/>
    <col min="5840" max="5840" width="63.85546875" style="118" customWidth="1"/>
    <col min="5841" max="5841" width="22.85546875" style="118" customWidth="1"/>
    <col min="5842" max="5842" width="32.140625" style="118" customWidth="1"/>
    <col min="5843" max="5843" width="24.85546875" style="118" customWidth="1"/>
    <col min="5844" max="5844" width="19.85546875" style="118" customWidth="1"/>
    <col min="5845" max="5845" width="18.28515625" style="118" customWidth="1"/>
    <col min="5846" max="5846" width="13.5703125" style="118" customWidth="1"/>
    <col min="5847" max="5847" width="19.85546875" style="118" customWidth="1"/>
    <col min="5848" max="5848" width="13.5703125" style="118" customWidth="1"/>
    <col min="5849" max="5849" width="10.5703125" style="118" customWidth="1"/>
    <col min="5850" max="5850" width="13.140625" style="118" customWidth="1"/>
    <col min="5851" max="5851" width="10" style="118" customWidth="1"/>
    <col min="5852" max="5856" width="8" style="118" customWidth="1"/>
    <col min="5857" max="5857" width="9.140625" style="118" customWidth="1"/>
    <col min="5858" max="5858" width="14" style="118" customWidth="1"/>
    <col min="5859" max="5859" width="16.5703125" style="118" customWidth="1"/>
    <col min="5860" max="5860" width="12.7109375" style="118" customWidth="1"/>
    <col min="5861" max="5861" width="9.5703125" style="118" customWidth="1"/>
    <col min="5862" max="5864" width="9.140625" style="118" customWidth="1"/>
    <col min="5865" max="6094" width="9.140625" style="118"/>
    <col min="6095" max="6095" width="4.85546875" style="118" customWidth="1"/>
    <col min="6096" max="6096" width="63.85546875" style="118" customWidth="1"/>
    <col min="6097" max="6097" width="22.85546875" style="118" customWidth="1"/>
    <col min="6098" max="6098" width="32.140625" style="118" customWidth="1"/>
    <col min="6099" max="6099" width="24.85546875" style="118" customWidth="1"/>
    <col min="6100" max="6100" width="19.85546875" style="118" customWidth="1"/>
    <col min="6101" max="6101" width="18.28515625" style="118" customWidth="1"/>
    <col min="6102" max="6102" width="13.5703125" style="118" customWidth="1"/>
    <col min="6103" max="6103" width="19.85546875" style="118" customWidth="1"/>
    <col min="6104" max="6104" width="13.5703125" style="118" customWidth="1"/>
    <col min="6105" max="6105" width="10.5703125" style="118" customWidth="1"/>
    <col min="6106" max="6106" width="13.140625" style="118" customWidth="1"/>
    <col min="6107" max="6107" width="10" style="118" customWidth="1"/>
    <col min="6108" max="6112" width="8" style="118" customWidth="1"/>
    <col min="6113" max="6113" width="9.140625" style="118" customWidth="1"/>
    <col min="6114" max="6114" width="14" style="118" customWidth="1"/>
    <col min="6115" max="6115" width="16.5703125" style="118" customWidth="1"/>
    <col min="6116" max="6116" width="12.7109375" style="118" customWidth="1"/>
    <col min="6117" max="6117" width="9.5703125" style="118" customWidth="1"/>
    <col min="6118" max="6120" width="9.140625" style="118" customWidth="1"/>
    <col min="6121" max="6350" width="9.140625" style="118"/>
    <col min="6351" max="6351" width="4.85546875" style="118" customWidth="1"/>
    <col min="6352" max="6352" width="63.85546875" style="118" customWidth="1"/>
    <col min="6353" max="6353" width="22.85546875" style="118" customWidth="1"/>
    <col min="6354" max="6354" width="32.140625" style="118" customWidth="1"/>
    <col min="6355" max="6355" width="24.85546875" style="118" customWidth="1"/>
    <col min="6356" max="6356" width="19.85546875" style="118" customWidth="1"/>
    <col min="6357" max="6357" width="18.28515625" style="118" customWidth="1"/>
    <col min="6358" max="6358" width="13.5703125" style="118" customWidth="1"/>
    <col min="6359" max="6359" width="19.85546875" style="118" customWidth="1"/>
    <col min="6360" max="6360" width="13.5703125" style="118" customWidth="1"/>
    <col min="6361" max="6361" width="10.5703125" style="118" customWidth="1"/>
    <col min="6362" max="6362" width="13.140625" style="118" customWidth="1"/>
    <col min="6363" max="6363" width="10" style="118" customWidth="1"/>
    <col min="6364" max="6368" width="8" style="118" customWidth="1"/>
    <col min="6369" max="6369" width="9.140625" style="118" customWidth="1"/>
    <col min="6370" max="6370" width="14" style="118" customWidth="1"/>
    <col min="6371" max="6371" width="16.5703125" style="118" customWidth="1"/>
    <col min="6372" max="6372" width="12.7109375" style="118" customWidth="1"/>
    <col min="6373" max="6373" width="9.5703125" style="118" customWidth="1"/>
    <col min="6374" max="6376" width="9.140625" style="118" customWidth="1"/>
    <col min="6377" max="6606" width="9.140625" style="118"/>
    <col min="6607" max="6607" width="4.85546875" style="118" customWidth="1"/>
    <col min="6608" max="6608" width="63.85546875" style="118" customWidth="1"/>
    <col min="6609" max="6609" width="22.85546875" style="118" customWidth="1"/>
    <col min="6610" max="6610" width="32.140625" style="118" customWidth="1"/>
    <col min="6611" max="6611" width="24.85546875" style="118" customWidth="1"/>
    <col min="6612" max="6612" width="19.85546875" style="118" customWidth="1"/>
    <col min="6613" max="6613" width="18.28515625" style="118" customWidth="1"/>
    <col min="6614" max="6614" width="13.5703125" style="118" customWidth="1"/>
    <col min="6615" max="6615" width="19.85546875" style="118" customWidth="1"/>
    <col min="6616" max="6616" width="13.5703125" style="118" customWidth="1"/>
    <col min="6617" max="6617" width="10.5703125" style="118" customWidth="1"/>
    <col min="6618" max="6618" width="13.140625" style="118" customWidth="1"/>
    <col min="6619" max="6619" width="10" style="118" customWidth="1"/>
    <col min="6620" max="6624" width="8" style="118" customWidth="1"/>
    <col min="6625" max="6625" width="9.140625" style="118" customWidth="1"/>
    <col min="6626" max="6626" width="14" style="118" customWidth="1"/>
    <col min="6627" max="6627" width="16.5703125" style="118" customWidth="1"/>
    <col min="6628" max="6628" width="12.7109375" style="118" customWidth="1"/>
    <col min="6629" max="6629" width="9.5703125" style="118" customWidth="1"/>
    <col min="6630" max="6632" width="9.140625" style="118" customWidth="1"/>
    <col min="6633" max="6862" width="9.140625" style="118"/>
    <col min="6863" max="6863" width="4.85546875" style="118" customWidth="1"/>
    <col min="6864" max="6864" width="63.85546875" style="118" customWidth="1"/>
    <col min="6865" max="6865" width="22.85546875" style="118" customWidth="1"/>
    <col min="6866" max="6866" width="32.140625" style="118" customWidth="1"/>
    <col min="6867" max="6867" width="24.85546875" style="118" customWidth="1"/>
    <col min="6868" max="6868" width="19.85546875" style="118" customWidth="1"/>
    <col min="6869" max="6869" width="18.28515625" style="118" customWidth="1"/>
    <col min="6870" max="6870" width="13.5703125" style="118" customWidth="1"/>
    <col min="6871" max="6871" width="19.85546875" style="118" customWidth="1"/>
    <col min="6872" max="6872" width="13.5703125" style="118" customWidth="1"/>
    <col min="6873" max="6873" width="10.5703125" style="118" customWidth="1"/>
    <col min="6874" max="6874" width="13.140625" style="118" customWidth="1"/>
    <col min="6875" max="6875" width="10" style="118" customWidth="1"/>
    <col min="6876" max="6880" width="8" style="118" customWidth="1"/>
    <col min="6881" max="6881" width="9.140625" style="118" customWidth="1"/>
    <col min="6882" max="6882" width="14" style="118" customWidth="1"/>
    <col min="6883" max="6883" width="16.5703125" style="118" customWidth="1"/>
    <col min="6884" max="6884" width="12.7109375" style="118" customWidth="1"/>
    <col min="6885" max="6885" width="9.5703125" style="118" customWidth="1"/>
    <col min="6886" max="6888" width="9.140625" style="118" customWidth="1"/>
    <col min="6889" max="7118" width="9.140625" style="118"/>
    <col min="7119" max="7119" width="4.85546875" style="118" customWidth="1"/>
    <col min="7120" max="7120" width="63.85546875" style="118" customWidth="1"/>
    <col min="7121" max="7121" width="22.85546875" style="118" customWidth="1"/>
    <col min="7122" max="7122" width="32.140625" style="118" customWidth="1"/>
    <col min="7123" max="7123" width="24.85546875" style="118" customWidth="1"/>
    <col min="7124" max="7124" width="19.85546875" style="118" customWidth="1"/>
    <col min="7125" max="7125" width="18.28515625" style="118" customWidth="1"/>
    <col min="7126" max="7126" width="13.5703125" style="118" customWidth="1"/>
    <col min="7127" max="7127" width="19.85546875" style="118" customWidth="1"/>
    <col min="7128" max="7128" width="13.5703125" style="118" customWidth="1"/>
    <col min="7129" max="7129" width="10.5703125" style="118" customWidth="1"/>
    <col min="7130" max="7130" width="13.140625" style="118" customWidth="1"/>
    <col min="7131" max="7131" width="10" style="118" customWidth="1"/>
    <col min="7132" max="7136" width="8" style="118" customWidth="1"/>
    <col min="7137" max="7137" width="9.140625" style="118" customWidth="1"/>
    <col min="7138" max="7138" width="14" style="118" customWidth="1"/>
    <col min="7139" max="7139" width="16.5703125" style="118" customWidth="1"/>
    <col min="7140" max="7140" width="12.7109375" style="118" customWidth="1"/>
    <col min="7141" max="7141" width="9.5703125" style="118" customWidth="1"/>
    <col min="7142" max="7144" width="9.140625" style="118" customWidth="1"/>
    <col min="7145" max="7374" width="9.140625" style="118"/>
    <col min="7375" max="7375" width="4.85546875" style="118" customWidth="1"/>
    <col min="7376" max="7376" width="63.85546875" style="118" customWidth="1"/>
    <col min="7377" max="7377" width="22.85546875" style="118" customWidth="1"/>
    <col min="7378" max="7378" width="32.140625" style="118" customWidth="1"/>
    <col min="7379" max="7379" width="24.85546875" style="118" customWidth="1"/>
    <col min="7380" max="7380" width="19.85546875" style="118" customWidth="1"/>
    <col min="7381" max="7381" width="18.28515625" style="118" customWidth="1"/>
    <col min="7382" max="7382" width="13.5703125" style="118" customWidth="1"/>
    <col min="7383" max="7383" width="19.85546875" style="118" customWidth="1"/>
    <col min="7384" max="7384" width="13.5703125" style="118" customWidth="1"/>
    <col min="7385" max="7385" width="10.5703125" style="118" customWidth="1"/>
    <col min="7386" max="7386" width="13.140625" style="118" customWidth="1"/>
    <col min="7387" max="7387" width="10" style="118" customWidth="1"/>
    <col min="7388" max="7392" width="8" style="118" customWidth="1"/>
    <col min="7393" max="7393" width="9.140625" style="118" customWidth="1"/>
    <col min="7394" max="7394" width="14" style="118" customWidth="1"/>
    <col min="7395" max="7395" width="16.5703125" style="118" customWidth="1"/>
    <col min="7396" max="7396" width="12.7109375" style="118" customWidth="1"/>
    <col min="7397" max="7397" width="9.5703125" style="118" customWidth="1"/>
    <col min="7398" max="7400" width="9.140625" style="118" customWidth="1"/>
    <col min="7401" max="7630" width="9.140625" style="118"/>
    <col min="7631" max="7631" width="4.85546875" style="118" customWidth="1"/>
    <col min="7632" max="7632" width="63.85546875" style="118" customWidth="1"/>
    <col min="7633" max="7633" width="22.85546875" style="118" customWidth="1"/>
    <col min="7634" max="7634" width="32.140625" style="118" customWidth="1"/>
    <col min="7635" max="7635" width="24.85546875" style="118" customWidth="1"/>
    <col min="7636" max="7636" width="19.85546875" style="118" customWidth="1"/>
    <col min="7637" max="7637" width="18.28515625" style="118" customWidth="1"/>
    <col min="7638" max="7638" width="13.5703125" style="118" customWidth="1"/>
    <col min="7639" max="7639" width="19.85546875" style="118" customWidth="1"/>
    <col min="7640" max="7640" width="13.5703125" style="118" customWidth="1"/>
    <col min="7641" max="7641" width="10.5703125" style="118" customWidth="1"/>
    <col min="7642" max="7642" width="13.140625" style="118" customWidth="1"/>
    <col min="7643" max="7643" width="10" style="118" customWidth="1"/>
    <col min="7644" max="7648" width="8" style="118" customWidth="1"/>
    <col min="7649" max="7649" width="9.140625" style="118" customWidth="1"/>
    <col min="7650" max="7650" width="14" style="118" customWidth="1"/>
    <col min="7651" max="7651" width="16.5703125" style="118" customWidth="1"/>
    <col min="7652" max="7652" width="12.7109375" style="118" customWidth="1"/>
    <col min="7653" max="7653" width="9.5703125" style="118" customWidth="1"/>
    <col min="7654" max="7656" width="9.140625" style="118" customWidth="1"/>
    <col min="7657" max="7886" width="9.140625" style="118"/>
    <col min="7887" max="7887" width="4.85546875" style="118" customWidth="1"/>
    <col min="7888" max="7888" width="63.85546875" style="118" customWidth="1"/>
    <col min="7889" max="7889" width="22.85546875" style="118" customWidth="1"/>
    <col min="7890" max="7890" width="32.140625" style="118" customWidth="1"/>
    <col min="7891" max="7891" width="24.85546875" style="118" customWidth="1"/>
    <col min="7892" max="7892" width="19.85546875" style="118" customWidth="1"/>
    <col min="7893" max="7893" width="18.28515625" style="118" customWidth="1"/>
    <col min="7894" max="7894" width="13.5703125" style="118" customWidth="1"/>
    <col min="7895" max="7895" width="19.85546875" style="118" customWidth="1"/>
    <col min="7896" max="7896" width="13.5703125" style="118" customWidth="1"/>
    <col min="7897" max="7897" width="10.5703125" style="118" customWidth="1"/>
    <col min="7898" max="7898" width="13.140625" style="118" customWidth="1"/>
    <col min="7899" max="7899" width="10" style="118" customWidth="1"/>
    <col min="7900" max="7904" width="8" style="118" customWidth="1"/>
    <col min="7905" max="7905" width="9.140625" style="118" customWidth="1"/>
    <col min="7906" max="7906" width="14" style="118" customWidth="1"/>
    <col min="7907" max="7907" width="16.5703125" style="118" customWidth="1"/>
    <col min="7908" max="7908" width="12.7109375" style="118" customWidth="1"/>
    <col min="7909" max="7909" width="9.5703125" style="118" customWidth="1"/>
    <col min="7910" max="7912" width="9.140625" style="118" customWidth="1"/>
    <col min="7913" max="8142" width="9.140625" style="118"/>
    <col min="8143" max="8143" width="4.85546875" style="118" customWidth="1"/>
    <col min="8144" max="8144" width="63.85546875" style="118" customWidth="1"/>
    <col min="8145" max="8145" width="22.85546875" style="118" customWidth="1"/>
    <col min="8146" max="8146" width="32.140625" style="118" customWidth="1"/>
    <col min="8147" max="8147" width="24.85546875" style="118" customWidth="1"/>
    <col min="8148" max="8148" width="19.85546875" style="118" customWidth="1"/>
    <col min="8149" max="8149" width="18.28515625" style="118" customWidth="1"/>
    <col min="8150" max="8150" width="13.5703125" style="118" customWidth="1"/>
    <col min="8151" max="8151" width="19.85546875" style="118" customWidth="1"/>
    <col min="8152" max="8152" width="13.5703125" style="118" customWidth="1"/>
    <col min="8153" max="8153" width="10.5703125" style="118" customWidth="1"/>
    <col min="8154" max="8154" width="13.140625" style="118" customWidth="1"/>
    <col min="8155" max="8155" width="10" style="118" customWidth="1"/>
    <col min="8156" max="8160" width="8" style="118" customWidth="1"/>
    <col min="8161" max="8161" width="9.140625" style="118" customWidth="1"/>
    <col min="8162" max="8162" width="14" style="118" customWidth="1"/>
    <col min="8163" max="8163" width="16.5703125" style="118" customWidth="1"/>
    <col min="8164" max="8164" width="12.7109375" style="118" customWidth="1"/>
    <col min="8165" max="8165" width="9.5703125" style="118" customWidth="1"/>
    <col min="8166" max="8168" width="9.140625" style="118" customWidth="1"/>
    <col min="8169" max="8398" width="9.140625" style="118"/>
    <col min="8399" max="8399" width="4.85546875" style="118" customWidth="1"/>
    <col min="8400" max="8400" width="63.85546875" style="118" customWidth="1"/>
    <col min="8401" max="8401" width="22.85546875" style="118" customWidth="1"/>
    <col min="8402" max="8402" width="32.140625" style="118" customWidth="1"/>
    <col min="8403" max="8403" width="24.85546875" style="118" customWidth="1"/>
    <col min="8404" max="8404" width="19.85546875" style="118" customWidth="1"/>
    <col min="8405" max="8405" width="18.28515625" style="118" customWidth="1"/>
    <col min="8406" max="8406" width="13.5703125" style="118" customWidth="1"/>
    <col min="8407" max="8407" width="19.85546875" style="118" customWidth="1"/>
    <col min="8408" max="8408" width="13.5703125" style="118" customWidth="1"/>
    <col min="8409" max="8409" width="10.5703125" style="118" customWidth="1"/>
    <col min="8410" max="8410" width="13.140625" style="118" customWidth="1"/>
    <col min="8411" max="8411" width="10" style="118" customWidth="1"/>
    <col min="8412" max="8416" width="8" style="118" customWidth="1"/>
    <col min="8417" max="8417" width="9.140625" style="118" customWidth="1"/>
    <col min="8418" max="8418" width="14" style="118" customWidth="1"/>
    <col min="8419" max="8419" width="16.5703125" style="118" customWidth="1"/>
    <col min="8420" max="8420" width="12.7109375" style="118" customWidth="1"/>
    <col min="8421" max="8421" width="9.5703125" style="118" customWidth="1"/>
    <col min="8422" max="8424" width="9.140625" style="118" customWidth="1"/>
    <col min="8425" max="8654" width="9.140625" style="118"/>
    <col min="8655" max="8655" width="4.85546875" style="118" customWidth="1"/>
    <col min="8656" max="8656" width="63.85546875" style="118" customWidth="1"/>
    <col min="8657" max="8657" width="22.85546875" style="118" customWidth="1"/>
    <col min="8658" max="8658" width="32.140625" style="118" customWidth="1"/>
    <col min="8659" max="8659" width="24.85546875" style="118" customWidth="1"/>
    <col min="8660" max="8660" width="19.85546875" style="118" customWidth="1"/>
    <col min="8661" max="8661" width="18.28515625" style="118" customWidth="1"/>
    <col min="8662" max="8662" width="13.5703125" style="118" customWidth="1"/>
    <col min="8663" max="8663" width="19.85546875" style="118" customWidth="1"/>
    <col min="8664" max="8664" width="13.5703125" style="118" customWidth="1"/>
    <col min="8665" max="8665" width="10.5703125" style="118" customWidth="1"/>
    <col min="8666" max="8666" width="13.140625" style="118" customWidth="1"/>
    <col min="8667" max="8667" width="10" style="118" customWidth="1"/>
    <col min="8668" max="8672" width="8" style="118" customWidth="1"/>
    <col min="8673" max="8673" width="9.140625" style="118" customWidth="1"/>
    <col min="8674" max="8674" width="14" style="118" customWidth="1"/>
    <col min="8675" max="8675" width="16.5703125" style="118" customWidth="1"/>
    <col min="8676" max="8676" width="12.7109375" style="118" customWidth="1"/>
    <col min="8677" max="8677" width="9.5703125" style="118" customWidth="1"/>
    <col min="8678" max="8680" width="9.140625" style="118" customWidth="1"/>
    <col min="8681" max="8910" width="9.140625" style="118"/>
    <col min="8911" max="8911" width="4.85546875" style="118" customWidth="1"/>
    <col min="8912" max="8912" width="63.85546875" style="118" customWidth="1"/>
    <col min="8913" max="8913" width="22.85546875" style="118" customWidth="1"/>
    <col min="8914" max="8914" width="32.140625" style="118" customWidth="1"/>
    <col min="8915" max="8915" width="24.85546875" style="118" customWidth="1"/>
    <col min="8916" max="8916" width="19.85546875" style="118" customWidth="1"/>
    <col min="8917" max="8917" width="18.28515625" style="118" customWidth="1"/>
    <col min="8918" max="8918" width="13.5703125" style="118" customWidth="1"/>
    <col min="8919" max="8919" width="19.85546875" style="118" customWidth="1"/>
    <col min="8920" max="8920" width="13.5703125" style="118" customWidth="1"/>
    <col min="8921" max="8921" width="10.5703125" style="118" customWidth="1"/>
    <col min="8922" max="8922" width="13.140625" style="118" customWidth="1"/>
    <col min="8923" max="8923" width="10" style="118" customWidth="1"/>
    <col min="8924" max="8928" width="8" style="118" customWidth="1"/>
    <col min="8929" max="8929" width="9.140625" style="118" customWidth="1"/>
    <col min="8930" max="8930" width="14" style="118" customWidth="1"/>
    <col min="8931" max="8931" width="16.5703125" style="118" customWidth="1"/>
    <col min="8932" max="8932" width="12.7109375" style="118" customWidth="1"/>
    <col min="8933" max="8933" width="9.5703125" style="118" customWidth="1"/>
    <col min="8934" max="8936" width="9.140625" style="118" customWidth="1"/>
    <col min="8937" max="9166" width="9.140625" style="118"/>
    <col min="9167" max="9167" width="4.85546875" style="118" customWidth="1"/>
    <col min="9168" max="9168" width="63.85546875" style="118" customWidth="1"/>
    <col min="9169" max="9169" width="22.85546875" style="118" customWidth="1"/>
    <col min="9170" max="9170" width="32.140625" style="118" customWidth="1"/>
    <col min="9171" max="9171" width="24.85546875" style="118" customWidth="1"/>
    <col min="9172" max="9172" width="19.85546875" style="118" customWidth="1"/>
    <col min="9173" max="9173" width="18.28515625" style="118" customWidth="1"/>
    <col min="9174" max="9174" width="13.5703125" style="118" customWidth="1"/>
    <col min="9175" max="9175" width="19.85546875" style="118" customWidth="1"/>
    <col min="9176" max="9176" width="13.5703125" style="118" customWidth="1"/>
    <col min="9177" max="9177" width="10.5703125" style="118" customWidth="1"/>
    <col min="9178" max="9178" width="13.140625" style="118" customWidth="1"/>
    <col min="9179" max="9179" width="10" style="118" customWidth="1"/>
    <col min="9180" max="9184" width="8" style="118" customWidth="1"/>
    <col min="9185" max="9185" width="9.140625" style="118" customWidth="1"/>
    <col min="9186" max="9186" width="14" style="118" customWidth="1"/>
    <col min="9187" max="9187" width="16.5703125" style="118" customWidth="1"/>
    <col min="9188" max="9188" width="12.7109375" style="118" customWidth="1"/>
    <col min="9189" max="9189" width="9.5703125" style="118" customWidth="1"/>
    <col min="9190" max="9192" width="9.140625" style="118" customWidth="1"/>
    <col min="9193" max="9422" width="9.140625" style="118"/>
    <col min="9423" max="9423" width="4.85546875" style="118" customWidth="1"/>
    <col min="9424" max="9424" width="63.85546875" style="118" customWidth="1"/>
    <col min="9425" max="9425" width="22.85546875" style="118" customWidth="1"/>
    <col min="9426" max="9426" width="32.140625" style="118" customWidth="1"/>
    <col min="9427" max="9427" width="24.85546875" style="118" customWidth="1"/>
    <col min="9428" max="9428" width="19.85546875" style="118" customWidth="1"/>
    <col min="9429" max="9429" width="18.28515625" style="118" customWidth="1"/>
    <col min="9430" max="9430" width="13.5703125" style="118" customWidth="1"/>
    <col min="9431" max="9431" width="19.85546875" style="118" customWidth="1"/>
    <col min="9432" max="9432" width="13.5703125" style="118" customWidth="1"/>
    <col min="9433" max="9433" width="10.5703125" style="118" customWidth="1"/>
    <col min="9434" max="9434" width="13.140625" style="118" customWidth="1"/>
    <col min="9435" max="9435" width="10" style="118" customWidth="1"/>
    <col min="9436" max="9440" width="8" style="118" customWidth="1"/>
    <col min="9441" max="9441" width="9.140625" style="118" customWidth="1"/>
    <col min="9442" max="9442" width="14" style="118" customWidth="1"/>
    <col min="9443" max="9443" width="16.5703125" style="118" customWidth="1"/>
    <col min="9444" max="9444" width="12.7109375" style="118" customWidth="1"/>
    <col min="9445" max="9445" width="9.5703125" style="118" customWidth="1"/>
    <col min="9446" max="9448" width="9.140625" style="118" customWidth="1"/>
    <col min="9449" max="9678" width="9.140625" style="118"/>
    <col min="9679" max="9679" width="4.85546875" style="118" customWidth="1"/>
    <col min="9680" max="9680" width="63.85546875" style="118" customWidth="1"/>
    <col min="9681" max="9681" width="22.85546875" style="118" customWidth="1"/>
    <col min="9682" max="9682" width="32.140625" style="118" customWidth="1"/>
    <col min="9683" max="9683" width="24.85546875" style="118" customWidth="1"/>
    <col min="9684" max="9684" width="19.85546875" style="118" customWidth="1"/>
    <col min="9685" max="9685" width="18.28515625" style="118" customWidth="1"/>
    <col min="9686" max="9686" width="13.5703125" style="118" customWidth="1"/>
    <col min="9687" max="9687" width="19.85546875" style="118" customWidth="1"/>
    <col min="9688" max="9688" width="13.5703125" style="118" customWidth="1"/>
    <col min="9689" max="9689" width="10.5703125" style="118" customWidth="1"/>
    <col min="9690" max="9690" width="13.140625" style="118" customWidth="1"/>
    <col min="9691" max="9691" width="10" style="118" customWidth="1"/>
    <col min="9692" max="9696" width="8" style="118" customWidth="1"/>
    <col min="9697" max="9697" width="9.140625" style="118" customWidth="1"/>
    <col min="9698" max="9698" width="14" style="118" customWidth="1"/>
    <col min="9699" max="9699" width="16.5703125" style="118" customWidth="1"/>
    <col min="9700" max="9700" width="12.7109375" style="118" customWidth="1"/>
    <col min="9701" max="9701" width="9.5703125" style="118" customWidth="1"/>
    <col min="9702" max="9704" width="9.140625" style="118" customWidth="1"/>
    <col min="9705" max="9934" width="9.140625" style="118"/>
    <col min="9935" max="9935" width="4.85546875" style="118" customWidth="1"/>
    <col min="9936" max="9936" width="63.85546875" style="118" customWidth="1"/>
    <col min="9937" max="9937" width="22.85546875" style="118" customWidth="1"/>
    <col min="9938" max="9938" width="32.140625" style="118" customWidth="1"/>
    <col min="9939" max="9939" width="24.85546875" style="118" customWidth="1"/>
    <col min="9940" max="9940" width="19.85546875" style="118" customWidth="1"/>
    <col min="9941" max="9941" width="18.28515625" style="118" customWidth="1"/>
    <col min="9942" max="9942" width="13.5703125" style="118" customWidth="1"/>
    <col min="9943" max="9943" width="19.85546875" style="118" customWidth="1"/>
    <col min="9944" max="9944" width="13.5703125" style="118" customWidth="1"/>
    <col min="9945" max="9945" width="10.5703125" style="118" customWidth="1"/>
    <col min="9946" max="9946" width="13.140625" style="118" customWidth="1"/>
    <col min="9947" max="9947" width="10" style="118" customWidth="1"/>
    <col min="9948" max="9952" width="8" style="118" customWidth="1"/>
    <col min="9953" max="9953" width="9.140625" style="118" customWidth="1"/>
    <col min="9954" max="9954" width="14" style="118" customWidth="1"/>
    <col min="9955" max="9955" width="16.5703125" style="118" customWidth="1"/>
    <col min="9956" max="9956" width="12.7109375" style="118" customWidth="1"/>
    <col min="9957" max="9957" width="9.5703125" style="118" customWidth="1"/>
    <col min="9958" max="9960" width="9.140625" style="118" customWidth="1"/>
    <col min="9961" max="10190" width="9.140625" style="118"/>
    <col min="10191" max="10191" width="4.85546875" style="118" customWidth="1"/>
    <col min="10192" max="10192" width="63.85546875" style="118" customWidth="1"/>
    <col min="10193" max="10193" width="22.85546875" style="118" customWidth="1"/>
    <col min="10194" max="10194" width="32.140625" style="118" customWidth="1"/>
    <col min="10195" max="10195" width="24.85546875" style="118" customWidth="1"/>
    <col min="10196" max="10196" width="19.85546875" style="118" customWidth="1"/>
    <col min="10197" max="10197" width="18.28515625" style="118" customWidth="1"/>
    <col min="10198" max="10198" width="13.5703125" style="118" customWidth="1"/>
    <col min="10199" max="10199" width="19.85546875" style="118" customWidth="1"/>
    <col min="10200" max="10200" width="13.5703125" style="118" customWidth="1"/>
    <col min="10201" max="10201" width="10.5703125" style="118" customWidth="1"/>
    <col min="10202" max="10202" width="13.140625" style="118" customWidth="1"/>
    <col min="10203" max="10203" width="10" style="118" customWidth="1"/>
    <col min="10204" max="10208" width="8" style="118" customWidth="1"/>
    <col min="10209" max="10209" width="9.140625" style="118" customWidth="1"/>
    <col min="10210" max="10210" width="14" style="118" customWidth="1"/>
    <col min="10211" max="10211" width="16.5703125" style="118" customWidth="1"/>
    <col min="10212" max="10212" width="12.7109375" style="118" customWidth="1"/>
    <col min="10213" max="10213" width="9.5703125" style="118" customWidth="1"/>
    <col min="10214" max="10216" width="9.140625" style="118" customWidth="1"/>
    <col min="10217" max="10446" width="9.140625" style="118"/>
    <col min="10447" max="10447" width="4.85546875" style="118" customWidth="1"/>
    <col min="10448" max="10448" width="63.85546875" style="118" customWidth="1"/>
    <col min="10449" max="10449" width="22.85546875" style="118" customWidth="1"/>
    <col min="10450" max="10450" width="32.140625" style="118" customWidth="1"/>
    <col min="10451" max="10451" width="24.85546875" style="118" customWidth="1"/>
    <col min="10452" max="10452" width="19.85546875" style="118" customWidth="1"/>
    <col min="10453" max="10453" width="18.28515625" style="118" customWidth="1"/>
    <col min="10454" max="10454" width="13.5703125" style="118" customWidth="1"/>
    <col min="10455" max="10455" width="19.85546875" style="118" customWidth="1"/>
    <col min="10456" max="10456" width="13.5703125" style="118" customWidth="1"/>
    <col min="10457" max="10457" width="10.5703125" style="118" customWidth="1"/>
    <col min="10458" max="10458" width="13.140625" style="118" customWidth="1"/>
    <col min="10459" max="10459" width="10" style="118" customWidth="1"/>
    <col min="10460" max="10464" width="8" style="118" customWidth="1"/>
    <col min="10465" max="10465" width="9.140625" style="118" customWidth="1"/>
    <col min="10466" max="10466" width="14" style="118" customWidth="1"/>
    <col min="10467" max="10467" width="16.5703125" style="118" customWidth="1"/>
    <col min="10468" max="10468" width="12.7109375" style="118" customWidth="1"/>
    <col min="10469" max="10469" width="9.5703125" style="118" customWidth="1"/>
    <col min="10470" max="10472" width="9.140625" style="118" customWidth="1"/>
    <col min="10473" max="10702" width="9.140625" style="118"/>
    <col min="10703" max="10703" width="4.85546875" style="118" customWidth="1"/>
    <col min="10704" max="10704" width="63.85546875" style="118" customWidth="1"/>
    <col min="10705" max="10705" width="22.85546875" style="118" customWidth="1"/>
    <col min="10706" max="10706" width="32.140625" style="118" customWidth="1"/>
    <col min="10707" max="10707" width="24.85546875" style="118" customWidth="1"/>
    <col min="10708" max="10708" width="19.85546875" style="118" customWidth="1"/>
    <col min="10709" max="10709" width="18.28515625" style="118" customWidth="1"/>
    <col min="10710" max="10710" width="13.5703125" style="118" customWidth="1"/>
    <col min="10711" max="10711" width="19.85546875" style="118" customWidth="1"/>
    <col min="10712" max="10712" width="13.5703125" style="118" customWidth="1"/>
    <col min="10713" max="10713" width="10.5703125" style="118" customWidth="1"/>
    <col min="10714" max="10714" width="13.140625" style="118" customWidth="1"/>
    <col min="10715" max="10715" width="10" style="118" customWidth="1"/>
    <col min="10716" max="10720" width="8" style="118" customWidth="1"/>
    <col min="10721" max="10721" width="9.140625" style="118" customWidth="1"/>
    <col min="10722" max="10722" width="14" style="118" customWidth="1"/>
    <col min="10723" max="10723" width="16.5703125" style="118" customWidth="1"/>
    <col min="10724" max="10724" width="12.7109375" style="118" customWidth="1"/>
    <col min="10725" max="10725" width="9.5703125" style="118" customWidth="1"/>
    <col min="10726" max="10728" width="9.140625" style="118" customWidth="1"/>
    <col min="10729" max="10958" width="9.140625" style="118"/>
    <col min="10959" max="10959" width="4.85546875" style="118" customWidth="1"/>
    <col min="10960" max="10960" width="63.85546875" style="118" customWidth="1"/>
    <col min="10961" max="10961" width="22.85546875" style="118" customWidth="1"/>
    <col min="10962" max="10962" width="32.140625" style="118" customWidth="1"/>
    <col min="10963" max="10963" width="24.85546875" style="118" customWidth="1"/>
    <col min="10964" max="10964" width="19.85546875" style="118" customWidth="1"/>
    <col min="10965" max="10965" width="18.28515625" style="118" customWidth="1"/>
    <col min="10966" max="10966" width="13.5703125" style="118" customWidth="1"/>
    <col min="10967" max="10967" width="19.85546875" style="118" customWidth="1"/>
    <col min="10968" max="10968" width="13.5703125" style="118" customWidth="1"/>
    <col min="10969" max="10969" width="10.5703125" style="118" customWidth="1"/>
    <col min="10970" max="10970" width="13.140625" style="118" customWidth="1"/>
    <col min="10971" max="10971" width="10" style="118" customWidth="1"/>
    <col min="10972" max="10976" width="8" style="118" customWidth="1"/>
    <col min="10977" max="10977" width="9.140625" style="118" customWidth="1"/>
    <col min="10978" max="10978" width="14" style="118" customWidth="1"/>
    <col min="10979" max="10979" width="16.5703125" style="118" customWidth="1"/>
    <col min="10980" max="10980" width="12.7109375" style="118" customWidth="1"/>
    <col min="10981" max="10981" width="9.5703125" style="118" customWidth="1"/>
    <col min="10982" max="10984" width="9.140625" style="118" customWidth="1"/>
    <col min="10985" max="11214" width="9.140625" style="118"/>
    <col min="11215" max="11215" width="4.85546875" style="118" customWidth="1"/>
    <col min="11216" max="11216" width="63.85546875" style="118" customWidth="1"/>
    <col min="11217" max="11217" width="22.85546875" style="118" customWidth="1"/>
    <col min="11218" max="11218" width="32.140625" style="118" customWidth="1"/>
    <col min="11219" max="11219" width="24.85546875" style="118" customWidth="1"/>
    <col min="11220" max="11220" width="19.85546875" style="118" customWidth="1"/>
    <col min="11221" max="11221" width="18.28515625" style="118" customWidth="1"/>
    <col min="11222" max="11222" width="13.5703125" style="118" customWidth="1"/>
    <col min="11223" max="11223" width="19.85546875" style="118" customWidth="1"/>
    <col min="11224" max="11224" width="13.5703125" style="118" customWidth="1"/>
    <col min="11225" max="11225" width="10.5703125" style="118" customWidth="1"/>
    <col min="11226" max="11226" width="13.140625" style="118" customWidth="1"/>
    <col min="11227" max="11227" width="10" style="118" customWidth="1"/>
    <col min="11228" max="11232" width="8" style="118" customWidth="1"/>
    <col min="11233" max="11233" width="9.140625" style="118" customWidth="1"/>
    <col min="11234" max="11234" width="14" style="118" customWidth="1"/>
    <col min="11235" max="11235" width="16.5703125" style="118" customWidth="1"/>
    <col min="11236" max="11236" width="12.7109375" style="118" customWidth="1"/>
    <col min="11237" max="11237" width="9.5703125" style="118" customWidth="1"/>
    <col min="11238" max="11240" width="9.140625" style="118" customWidth="1"/>
    <col min="11241" max="11470" width="9.140625" style="118"/>
    <col min="11471" max="11471" width="4.85546875" style="118" customWidth="1"/>
    <col min="11472" max="11472" width="63.85546875" style="118" customWidth="1"/>
    <col min="11473" max="11473" width="22.85546875" style="118" customWidth="1"/>
    <col min="11474" max="11474" width="32.140625" style="118" customWidth="1"/>
    <col min="11475" max="11475" width="24.85546875" style="118" customWidth="1"/>
    <col min="11476" max="11476" width="19.85546875" style="118" customWidth="1"/>
    <col min="11477" max="11477" width="18.28515625" style="118" customWidth="1"/>
    <col min="11478" max="11478" width="13.5703125" style="118" customWidth="1"/>
    <col min="11479" max="11479" width="19.85546875" style="118" customWidth="1"/>
    <col min="11480" max="11480" width="13.5703125" style="118" customWidth="1"/>
    <col min="11481" max="11481" width="10.5703125" style="118" customWidth="1"/>
    <col min="11482" max="11482" width="13.140625" style="118" customWidth="1"/>
    <col min="11483" max="11483" width="10" style="118" customWidth="1"/>
    <col min="11484" max="11488" width="8" style="118" customWidth="1"/>
    <col min="11489" max="11489" width="9.140625" style="118" customWidth="1"/>
    <col min="11490" max="11490" width="14" style="118" customWidth="1"/>
    <col min="11491" max="11491" width="16.5703125" style="118" customWidth="1"/>
    <col min="11492" max="11492" width="12.7109375" style="118" customWidth="1"/>
    <col min="11493" max="11493" width="9.5703125" style="118" customWidth="1"/>
    <col min="11494" max="11496" width="9.140625" style="118" customWidth="1"/>
    <col min="11497" max="11726" width="9.140625" style="118"/>
    <col min="11727" max="11727" width="4.85546875" style="118" customWidth="1"/>
    <col min="11728" max="11728" width="63.85546875" style="118" customWidth="1"/>
    <col min="11729" max="11729" width="22.85546875" style="118" customWidth="1"/>
    <col min="11730" max="11730" width="32.140625" style="118" customWidth="1"/>
    <col min="11731" max="11731" width="24.85546875" style="118" customWidth="1"/>
    <col min="11732" max="11732" width="19.85546875" style="118" customWidth="1"/>
    <col min="11733" max="11733" width="18.28515625" style="118" customWidth="1"/>
    <col min="11734" max="11734" width="13.5703125" style="118" customWidth="1"/>
    <col min="11735" max="11735" width="19.85546875" style="118" customWidth="1"/>
    <col min="11736" max="11736" width="13.5703125" style="118" customWidth="1"/>
    <col min="11737" max="11737" width="10.5703125" style="118" customWidth="1"/>
    <col min="11738" max="11738" width="13.140625" style="118" customWidth="1"/>
    <col min="11739" max="11739" width="10" style="118" customWidth="1"/>
    <col min="11740" max="11744" width="8" style="118" customWidth="1"/>
    <col min="11745" max="11745" width="9.140625" style="118" customWidth="1"/>
    <col min="11746" max="11746" width="14" style="118" customWidth="1"/>
    <col min="11747" max="11747" width="16.5703125" style="118" customWidth="1"/>
    <col min="11748" max="11748" width="12.7109375" style="118" customWidth="1"/>
    <col min="11749" max="11749" width="9.5703125" style="118" customWidth="1"/>
    <col min="11750" max="11752" width="9.140625" style="118" customWidth="1"/>
    <col min="11753" max="11982" width="9.140625" style="118"/>
    <col min="11983" max="11983" width="4.85546875" style="118" customWidth="1"/>
    <col min="11984" max="11984" width="63.85546875" style="118" customWidth="1"/>
    <col min="11985" max="11985" width="22.85546875" style="118" customWidth="1"/>
    <col min="11986" max="11986" width="32.140625" style="118" customWidth="1"/>
    <col min="11987" max="11987" width="24.85546875" style="118" customWidth="1"/>
    <col min="11988" max="11988" width="19.85546875" style="118" customWidth="1"/>
    <col min="11989" max="11989" width="18.28515625" style="118" customWidth="1"/>
    <col min="11990" max="11990" width="13.5703125" style="118" customWidth="1"/>
    <col min="11991" max="11991" width="19.85546875" style="118" customWidth="1"/>
    <col min="11992" max="11992" width="13.5703125" style="118" customWidth="1"/>
    <col min="11993" max="11993" width="10.5703125" style="118" customWidth="1"/>
    <col min="11994" max="11994" width="13.140625" style="118" customWidth="1"/>
    <col min="11995" max="11995" width="10" style="118" customWidth="1"/>
    <col min="11996" max="12000" width="8" style="118" customWidth="1"/>
    <col min="12001" max="12001" width="9.140625" style="118" customWidth="1"/>
    <col min="12002" max="12002" width="14" style="118" customWidth="1"/>
    <col min="12003" max="12003" width="16.5703125" style="118" customWidth="1"/>
    <col min="12004" max="12004" width="12.7109375" style="118" customWidth="1"/>
    <col min="12005" max="12005" width="9.5703125" style="118" customWidth="1"/>
    <col min="12006" max="12008" width="9.140625" style="118" customWidth="1"/>
    <col min="12009" max="12238" width="9.140625" style="118"/>
    <col min="12239" max="12239" width="4.85546875" style="118" customWidth="1"/>
    <col min="12240" max="12240" width="63.85546875" style="118" customWidth="1"/>
    <col min="12241" max="12241" width="22.85546875" style="118" customWidth="1"/>
    <col min="12242" max="12242" width="32.140625" style="118" customWidth="1"/>
    <col min="12243" max="12243" width="24.85546875" style="118" customWidth="1"/>
    <col min="12244" max="12244" width="19.85546875" style="118" customWidth="1"/>
    <col min="12245" max="12245" width="18.28515625" style="118" customWidth="1"/>
    <col min="12246" max="12246" width="13.5703125" style="118" customWidth="1"/>
    <col min="12247" max="12247" width="19.85546875" style="118" customWidth="1"/>
    <col min="12248" max="12248" width="13.5703125" style="118" customWidth="1"/>
    <col min="12249" max="12249" width="10.5703125" style="118" customWidth="1"/>
    <col min="12250" max="12250" width="13.140625" style="118" customWidth="1"/>
    <col min="12251" max="12251" width="10" style="118" customWidth="1"/>
    <col min="12252" max="12256" width="8" style="118" customWidth="1"/>
    <col min="12257" max="12257" width="9.140625" style="118" customWidth="1"/>
    <col min="12258" max="12258" width="14" style="118" customWidth="1"/>
    <col min="12259" max="12259" width="16.5703125" style="118" customWidth="1"/>
    <col min="12260" max="12260" width="12.7109375" style="118" customWidth="1"/>
    <col min="12261" max="12261" width="9.5703125" style="118" customWidth="1"/>
    <col min="12262" max="12264" width="9.140625" style="118" customWidth="1"/>
    <col min="12265" max="12494" width="9.140625" style="118"/>
    <col min="12495" max="12495" width="4.85546875" style="118" customWidth="1"/>
    <col min="12496" max="12496" width="63.85546875" style="118" customWidth="1"/>
    <col min="12497" max="12497" width="22.85546875" style="118" customWidth="1"/>
    <col min="12498" max="12498" width="32.140625" style="118" customWidth="1"/>
    <col min="12499" max="12499" width="24.85546875" style="118" customWidth="1"/>
    <col min="12500" max="12500" width="19.85546875" style="118" customWidth="1"/>
    <col min="12501" max="12501" width="18.28515625" style="118" customWidth="1"/>
    <col min="12502" max="12502" width="13.5703125" style="118" customWidth="1"/>
    <col min="12503" max="12503" width="19.85546875" style="118" customWidth="1"/>
    <col min="12504" max="12504" width="13.5703125" style="118" customWidth="1"/>
    <col min="12505" max="12505" width="10.5703125" style="118" customWidth="1"/>
    <col min="12506" max="12506" width="13.140625" style="118" customWidth="1"/>
    <col min="12507" max="12507" width="10" style="118" customWidth="1"/>
    <col min="12508" max="12512" width="8" style="118" customWidth="1"/>
    <col min="12513" max="12513" width="9.140625" style="118" customWidth="1"/>
    <col min="12514" max="12514" width="14" style="118" customWidth="1"/>
    <col min="12515" max="12515" width="16.5703125" style="118" customWidth="1"/>
    <col min="12516" max="12516" width="12.7109375" style="118" customWidth="1"/>
    <col min="12517" max="12517" width="9.5703125" style="118" customWidth="1"/>
    <col min="12518" max="12520" width="9.140625" style="118" customWidth="1"/>
    <col min="12521" max="12750" width="9.140625" style="118"/>
    <col min="12751" max="12751" width="4.85546875" style="118" customWidth="1"/>
    <col min="12752" max="12752" width="63.85546875" style="118" customWidth="1"/>
    <col min="12753" max="12753" width="22.85546875" style="118" customWidth="1"/>
    <col min="12754" max="12754" width="32.140625" style="118" customWidth="1"/>
    <col min="12755" max="12755" width="24.85546875" style="118" customWidth="1"/>
    <col min="12756" max="12756" width="19.85546875" style="118" customWidth="1"/>
    <col min="12757" max="12757" width="18.28515625" style="118" customWidth="1"/>
    <col min="12758" max="12758" width="13.5703125" style="118" customWidth="1"/>
    <col min="12759" max="12759" width="19.85546875" style="118" customWidth="1"/>
    <col min="12760" max="12760" width="13.5703125" style="118" customWidth="1"/>
    <col min="12761" max="12761" width="10.5703125" style="118" customWidth="1"/>
    <col min="12762" max="12762" width="13.140625" style="118" customWidth="1"/>
    <col min="12763" max="12763" width="10" style="118" customWidth="1"/>
    <col min="12764" max="12768" width="8" style="118" customWidth="1"/>
    <col min="12769" max="12769" width="9.140625" style="118" customWidth="1"/>
    <col min="12770" max="12770" width="14" style="118" customWidth="1"/>
    <col min="12771" max="12771" width="16.5703125" style="118" customWidth="1"/>
    <col min="12772" max="12772" width="12.7109375" style="118" customWidth="1"/>
    <col min="12773" max="12773" width="9.5703125" style="118" customWidth="1"/>
    <col min="12774" max="12776" width="9.140625" style="118" customWidth="1"/>
    <col min="12777" max="13006" width="9.140625" style="118"/>
    <col min="13007" max="13007" width="4.85546875" style="118" customWidth="1"/>
    <col min="13008" max="13008" width="63.85546875" style="118" customWidth="1"/>
    <col min="13009" max="13009" width="22.85546875" style="118" customWidth="1"/>
    <col min="13010" max="13010" width="32.140625" style="118" customWidth="1"/>
    <col min="13011" max="13011" width="24.85546875" style="118" customWidth="1"/>
    <col min="13012" max="13012" width="19.85546875" style="118" customWidth="1"/>
    <col min="13013" max="13013" width="18.28515625" style="118" customWidth="1"/>
    <col min="13014" max="13014" width="13.5703125" style="118" customWidth="1"/>
    <col min="13015" max="13015" width="19.85546875" style="118" customWidth="1"/>
    <col min="13016" max="13016" width="13.5703125" style="118" customWidth="1"/>
    <col min="13017" max="13017" width="10.5703125" style="118" customWidth="1"/>
    <col min="13018" max="13018" width="13.140625" style="118" customWidth="1"/>
    <col min="13019" max="13019" width="10" style="118" customWidth="1"/>
    <col min="13020" max="13024" width="8" style="118" customWidth="1"/>
    <col min="13025" max="13025" width="9.140625" style="118" customWidth="1"/>
    <col min="13026" max="13026" width="14" style="118" customWidth="1"/>
    <col min="13027" max="13027" width="16.5703125" style="118" customWidth="1"/>
    <col min="13028" max="13028" width="12.7109375" style="118" customWidth="1"/>
    <col min="13029" max="13029" width="9.5703125" style="118" customWidth="1"/>
    <col min="13030" max="13032" width="9.140625" style="118" customWidth="1"/>
    <col min="13033" max="13262" width="9.140625" style="118"/>
    <col min="13263" max="13263" width="4.85546875" style="118" customWidth="1"/>
    <col min="13264" max="13264" width="63.85546875" style="118" customWidth="1"/>
    <col min="13265" max="13265" width="22.85546875" style="118" customWidth="1"/>
    <col min="13266" max="13266" width="32.140625" style="118" customWidth="1"/>
    <col min="13267" max="13267" width="24.85546875" style="118" customWidth="1"/>
    <col min="13268" max="13268" width="19.85546875" style="118" customWidth="1"/>
    <col min="13269" max="13269" width="18.28515625" style="118" customWidth="1"/>
    <col min="13270" max="13270" width="13.5703125" style="118" customWidth="1"/>
    <col min="13271" max="13271" width="19.85546875" style="118" customWidth="1"/>
    <col min="13272" max="13272" width="13.5703125" style="118" customWidth="1"/>
    <col min="13273" max="13273" width="10.5703125" style="118" customWidth="1"/>
    <col min="13274" max="13274" width="13.140625" style="118" customWidth="1"/>
    <col min="13275" max="13275" width="10" style="118" customWidth="1"/>
    <col min="13276" max="13280" width="8" style="118" customWidth="1"/>
    <col min="13281" max="13281" width="9.140625" style="118" customWidth="1"/>
    <col min="13282" max="13282" width="14" style="118" customWidth="1"/>
    <col min="13283" max="13283" width="16.5703125" style="118" customWidth="1"/>
    <col min="13284" max="13284" width="12.7109375" style="118" customWidth="1"/>
    <col min="13285" max="13285" width="9.5703125" style="118" customWidth="1"/>
    <col min="13286" max="13288" width="9.140625" style="118" customWidth="1"/>
    <col min="13289" max="13518" width="9.140625" style="118"/>
    <col min="13519" max="13519" width="4.85546875" style="118" customWidth="1"/>
    <col min="13520" max="13520" width="63.85546875" style="118" customWidth="1"/>
    <col min="13521" max="13521" width="22.85546875" style="118" customWidth="1"/>
    <col min="13522" max="13522" width="32.140625" style="118" customWidth="1"/>
    <col min="13523" max="13523" width="24.85546875" style="118" customWidth="1"/>
    <col min="13524" max="13524" width="19.85546875" style="118" customWidth="1"/>
    <col min="13525" max="13525" width="18.28515625" style="118" customWidth="1"/>
    <col min="13526" max="13526" width="13.5703125" style="118" customWidth="1"/>
    <col min="13527" max="13527" width="19.85546875" style="118" customWidth="1"/>
    <col min="13528" max="13528" width="13.5703125" style="118" customWidth="1"/>
    <col min="13529" max="13529" width="10.5703125" style="118" customWidth="1"/>
    <col min="13530" max="13530" width="13.140625" style="118" customWidth="1"/>
    <col min="13531" max="13531" width="10" style="118" customWidth="1"/>
    <col min="13532" max="13536" width="8" style="118" customWidth="1"/>
    <col min="13537" max="13537" width="9.140625" style="118" customWidth="1"/>
    <col min="13538" max="13538" width="14" style="118" customWidth="1"/>
    <col min="13539" max="13539" width="16.5703125" style="118" customWidth="1"/>
    <col min="13540" max="13540" width="12.7109375" style="118" customWidth="1"/>
    <col min="13541" max="13541" width="9.5703125" style="118" customWidth="1"/>
    <col min="13542" max="13544" width="9.140625" style="118" customWidth="1"/>
    <col min="13545" max="13774" width="9.140625" style="118"/>
    <col min="13775" max="13775" width="4.85546875" style="118" customWidth="1"/>
    <col min="13776" max="13776" width="63.85546875" style="118" customWidth="1"/>
    <col min="13777" max="13777" width="22.85546875" style="118" customWidth="1"/>
    <col min="13778" max="13778" width="32.140625" style="118" customWidth="1"/>
    <col min="13779" max="13779" width="24.85546875" style="118" customWidth="1"/>
    <col min="13780" max="13780" width="19.85546875" style="118" customWidth="1"/>
    <col min="13781" max="13781" width="18.28515625" style="118" customWidth="1"/>
    <col min="13782" max="13782" width="13.5703125" style="118" customWidth="1"/>
    <col min="13783" max="13783" width="19.85546875" style="118" customWidth="1"/>
    <col min="13784" max="13784" width="13.5703125" style="118" customWidth="1"/>
    <col min="13785" max="13785" width="10.5703125" style="118" customWidth="1"/>
    <col min="13786" max="13786" width="13.140625" style="118" customWidth="1"/>
    <col min="13787" max="13787" width="10" style="118" customWidth="1"/>
    <col min="13788" max="13792" width="8" style="118" customWidth="1"/>
    <col min="13793" max="13793" width="9.140625" style="118" customWidth="1"/>
    <col min="13794" max="13794" width="14" style="118" customWidth="1"/>
    <col min="13795" max="13795" width="16.5703125" style="118" customWidth="1"/>
    <col min="13796" max="13796" width="12.7109375" style="118" customWidth="1"/>
    <col min="13797" max="13797" width="9.5703125" style="118" customWidth="1"/>
    <col min="13798" max="13800" width="9.140625" style="118" customWidth="1"/>
    <col min="13801" max="14030" width="9.140625" style="118"/>
    <col min="14031" max="14031" width="4.85546875" style="118" customWidth="1"/>
    <col min="14032" max="14032" width="63.85546875" style="118" customWidth="1"/>
    <col min="14033" max="14033" width="22.85546875" style="118" customWidth="1"/>
    <col min="14034" max="14034" width="32.140625" style="118" customWidth="1"/>
    <col min="14035" max="14035" width="24.85546875" style="118" customWidth="1"/>
    <col min="14036" max="14036" width="19.85546875" style="118" customWidth="1"/>
    <col min="14037" max="14037" width="18.28515625" style="118" customWidth="1"/>
    <col min="14038" max="14038" width="13.5703125" style="118" customWidth="1"/>
    <col min="14039" max="14039" width="19.85546875" style="118" customWidth="1"/>
    <col min="14040" max="14040" width="13.5703125" style="118" customWidth="1"/>
    <col min="14041" max="14041" width="10.5703125" style="118" customWidth="1"/>
    <col min="14042" max="14042" width="13.140625" style="118" customWidth="1"/>
    <col min="14043" max="14043" width="10" style="118" customWidth="1"/>
    <col min="14044" max="14048" width="8" style="118" customWidth="1"/>
    <col min="14049" max="14049" width="9.140625" style="118" customWidth="1"/>
    <col min="14050" max="14050" width="14" style="118" customWidth="1"/>
    <col min="14051" max="14051" width="16.5703125" style="118" customWidth="1"/>
    <col min="14052" max="14052" width="12.7109375" style="118" customWidth="1"/>
    <col min="14053" max="14053" width="9.5703125" style="118" customWidth="1"/>
    <col min="14054" max="14056" width="9.140625" style="118" customWidth="1"/>
    <col min="14057" max="14286" width="9.140625" style="118"/>
    <col min="14287" max="14287" width="4.85546875" style="118" customWidth="1"/>
    <col min="14288" max="14288" width="63.85546875" style="118" customWidth="1"/>
    <col min="14289" max="14289" width="22.85546875" style="118" customWidth="1"/>
    <col min="14290" max="14290" width="32.140625" style="118" customWidth="1"/>
    <col min="14291" max="14291" width="24.85546875" style="118" customWidth="1"/>
    <col min="14292" max="14292" width="19.85546875" style="118" customWidth="1"/>
    <col min="14293" max="14293" width="18.28515625" style="118" customWidth="1"/>
    <col min="14294" max="14294" width="13.5703125" style="118" customWidth="1"/>
    <col min="14295" max="14295" width="19.85546875" style="118" customWidth="1"/>
    <col min="14296" max="14296" width="13.5703125" style="118" customWidth="1"/>
    <col min="14297" max="14297" width="10.5703125" style="118" customWidth="1"/>
    <col min="14298" max="14298" width="13.140625" style="118" customWidth="1"/>
    <col min="14299" max="14299" width="10" style="118" customWidth="1"/>
    <col min="14300" max="14304" width="8" style="118" customWidth="1"/>
    <col min="14305" max="14305" width="9.140625" style="118" customWidth="1"/>
    <col min="14306" max="14306" width="14" style="118" customWidth="1"/>
    <col min="14307" max="14307" width="16.5703125" style="118" customWidth="1"/>
    <col min="14308" max="14308" width="12.7109375" style="118" customWidth="1"/>
    <col min="14309" max="14309" width="9.5703125" style="118" customWidth="1"/>
    <col min="14310" max="14312" width="9.140625" style="118" customWidth="1"/>
    <col min="14313" max="14542" width="9.140625" style="118"/>
    <col min="14543" max="14543" width="4.85546875" style="118" customWidth="1"/>
    <col min="14544" max="14544" width="63.85546875" style="118" customWidth="1"/>
    <col min="14545" max="14545" width="22.85546875" style="118" customWidth="1"/>
    <col min="14546" max="14546" width="32.140625" style="118" customWidth="1"/>
    <col min="14547" max="14547" width="24.85546875" style="118" customWidth="1"/>
    <col min="14548" max="14548" width="19.85546875" style="118" customWidth="1"/>
    <col min="14549" max="14549" width="18.28515625" style="118" customWidth="1"/>
    <col min="14550" max="14550" width="13.5703125" style="118" customWidth="1"/>
    <col min="14551" max="14551" width="19.85546875" style="118" customWidth="1"/>
    <col min="14552" max="14552" width="13.5703125" style="118" customWidth="1"/>
    <col min="14553" max="14553" width="10.5703125" style="118" customWidth="1"/>
    <col min="14554" max="14554" width="13.140625" style="118" customWidth="1"/>
    <col min="14555" max="14555" width="10" style="118" customWidth="1"/>
    <col min="14556" max="14560" width="8" style="118" customWidth="1"/>
    <col min="14561" max="14561" width="9.140625" style="118" customWidth="1"/>
    <col min="14562" max="14562" width="14" style="118" customWidth="1"/>
    <col min="14563" max="14563" width="16.5703125" style="118" customWidth="1"/>
    <col min="14564" max="14564" width="12.7109375" style="118" customWidth="1"/>
    <col min="14565" max="14565" width="9.5703125" style="118" customWidth="1"/>
    <col min="14566" max="14568" width="9.140625" style="118" customWidth="1"/>
    <col min="14569" max="14798" width="9.140625" style="118"/>
    <col min="14799" max="14799" width="4.85546875" style="118" customWidth="1"/>
    <col min="14800" max="14800" width="63.85546875" style="118" customWidth="1"/>
    <col min="14801" max="14801" width="22.85546875" style="118" customWidth="1"/>
    <col min="14802" max="14802" width="32.140625" style="118" customWidth="1"/>
    <col min="14803" max="14803" width="24.85546875" style="118" customWidth="1"/>
    <col min="14804" max="14804" width="19.85546875" style="118" customWidth="1"/>
    <col min="14805" max="14805" width="18.28515625" style="118" customWidth="1"/>
    <col min="14806" max="14806" width="13.5703125" style="118" customWidth="1"/>
    <col min="14807" max="14807" width="19.85546875" style="118" customWidth="1"/>
    <col min="14808" max="14808" width="13.5703125" style="118" customWidth="1"/>
    <col min="14809" max="14809" width="10.5703125" style="118" customWidth="1"/>
    <col min="14810" max="14810" width="13.140625" style="118" customWidth="1"/>
    <col min="14811" max="14811" width="10" style="118" customWidth="1"/>
    <col min="14812" max="14816" width="8" style="118" customWidth="1"/>
    <col min="14817" max="14817" width="9.140625" style="118" customWidth="1"/>
    <col min="14818" max="14818" width="14" style="118" customWidth="1"/>
    <col min="14819" max="14819" width="16.5703125" style="118" customWidth="1"/>
    <col min="14820" max="14820" width="12.7109375" style="118" customWidth="1"/>
    <col min="14821" max="14821" width="9.5703125" style="118" customWidth="1"/>
    <col min="14822" max="14824" width="9.140625" style="118" customWidth="1"/>
    <col min="14825" max="15054" width="9.140625" style="118"/>
    <col min="15055" max="15055" width="4.85546875" style="118" customWidth="1"/>
    <col min="15056" max="15056" width="63.85546875" style="118" customWidth="1"/>
    <col min="15057" max="15057" width="22.85546875" style="118" customWidth="1"/>
    <col min="15058" max="15058" width="32.140625" style="118" customWidth="1"/>
    <col min="15059" max="15059" width="24.85546875" style="118" customWidth="1"/>
    <col min="15060" max="15060" width="19.85546875" style="118" customWidth="1"/>
    <col min="15061" max="15061" width="18.28515625" style="118" customWidth="1"/>
    <col min="15062" max="15062" width="13.5703125" style="118" customWidth="1"/>
    <col min="15063" max="15063" width="19.85546875" style="118" customWidth="1"/>
    <col min="15064" max="15064" width="13.5703125" style="118" customWidth="1"/>
    <col min="15065" max="15065" width="10.5703125" style="118" customWidth="1"/>
    <col min="15066" max="15066" width="13.140625" style="118" customWidth="1"/>
    <col min="15067" max="15067" width="10" style="118" customWidth="1"/>
    <col min="15068" max="15072" width="8" style="118" customWidth="1"/>
    <col min="15073" max="15073" width="9.140625" style="118" customWidth="1"/>
    <col min="15074" max="15074" width="14" style="118" customWidth="1"/>
    <col min="15075" max="15075" width="16.5703125" style="118" customWidth="1"/>
    <col min="15076" max="15076" width="12.7109375" style="118" customWidth="1"/>
    <col min="15077" max="15077" width="9.5703125" style="118" customWidth="1"/>
    <col min="15078" max="15080" width="9.140625" style="118" customWidth="1"/>
    <col min="15081" max="15310" width="9.140625" style="118"/>
    <col min="15311" max="15311" width="4.85546875" style="118" customWidth="1"/>
    <col min="15312" max="15312" width="63.85546875" style="118" customWidth="1"/>
    <col min="15313" max="15313" width="22.85546875" style="118" customWidth="1"/>
    <col min="15314" max="15314" width="32.140625" style="118" customWidth="1"/>
    <col min="15315" max="15315" width="24.85546875" style="118" customWidth="1"/>
    <col min="15316" max="15316" width="19.85546875" style="118" customWidth="1"/>
    <col min="15317" max="15317" width="18.28515625" style="118" customWidth="1"/>
    <col min="15318" max="15318" width="13.5703125" style="118" customWidth="1"/>
    <col min="15319" max="15319" width="19.85546875" style="118" customWidth="1"/>
    <col min="15320" max="15320" width="13.5703125" style="118" customWidth="1"/>
    <col min="15321" max="15321" width="10.5703125" style="118" customWidth="1"/>
    <col min="15322" max="15322" width="13.140625" style="118" customWidth="1"/>
    <col min="15323" max="15323" width="10" style="118" customWidth="1"/>
    <col min="15324" max="15328" width="8" style="118" customWidth="1"/>
    <col min="15329" max="15329" width="9.140625" style="118" customWidth="1"/>
    <col min="15330" max="15330" width="14" style="118" customWidth="1"/>
    <col min="15331" max="15331" width="16.5703125" style="118" customWidth="1"/>
    <col min="15332" max="15332" width="12.7109375" style="118" customWidth="1"/>
    <col min="15333" max="15333" width="9.5703125" style="118" customWidth="1"/>
    <col min="15334" max="15336" width="9.140625" style="118" customWidth="1"/>
    <col min="15337" max="15566" width="9.140625" style="118"/>
    <col min="15567" max="15567" width="4.85546875" style="118" customWidth="1"/>
    <col min="15568" max="15568" width="63.85546875" style="118" customWidth="1"/>
    <col min="15569" max="15569" width="22.85546875" style="118" customWidth="1"/>
    <col min="15570" max="15570" width="32.140625" style="118" customWidth="1"/>
    <col min="15571" max="15571" width="24.85546875" style="118" customWidth="1"/>
    <col min="15572" max="15572" width="19.85546875" style="118" customWidth="1"/>
    <col min="15573" max="15573" width="18.28515625" style="118" customWidth="1"/>
    <col min="15574" max="15574" width="13.5703125" style="118" customWidth="1"/>
    <col min="15575" max="15575" width="19.85546875" style="118" customWidth="1"/>
    <col min="15576" max="15576" width="13.5703125" style="118" customWidth="1"/>
    <col min="15577" max="15577" width="10.5703125" style="118" customWidth="1"/>
    <col min="15578" max="15578" width="13.140625" style="118" customWidth="1"/>
    <col min="15579" max="15579" width="10" style="118" customWidth="1"/>
    <col min="15580" max="15584" width="8" style="118" customWidth="1"/>
    <col min="15585" max="15585" width="9.140625" style="118" customWidth="1"/>
    <col min="15586" max="15586" width="14" style="118" customWidth="1"/>
    <col min="15587" max="15587" width="16.5703125" style="118" customWidth="1"/>
    <col min="15588" max="15588" width="12.7109375" style="118" customWidth="1"/>
    <col min="15589" max="15589" width="9.5703125" style="118" customWidth="1"/>
    <col min="15590" max="15592" width="9.140625" style="118" customWidth="1"/>
    <col min="15593" max="15822" width="9.140625" style="118"/>
    <col min="15823" max="15823" width="4.85546875" style="118" customWidth="1"/>
    <col min="15824" max="15824" width="63.85546875" style="118" customWidth="1"/>
    <col min="15825" max="15825" width="22.85546875" style="118" customWidth="1"/>
    <col min="15826" max="15826" width="32.140625" style="118" customWidth="1"/>
    <col min="15827" max="15827" width="24.85546875" style="118" customWidth="1"/>
    <col min="15828" max="15828" width="19.85546875" style="118" customWidth="1"/>
    <col min="15829" max="15829" width="18.28515625" style="118" customWidth="1"/>
    <col min="15830" max="15830" width="13.5703125" style="118" customWidth="1"/>
    <col min="15831" max="15831" width="19.85546875" style="118" customWidth="1"/>
    <col min="15832" max="15832" width="13.5703125" style="118" customWidth="1"/>
    <col min="15833" max="15833" width="10.5703125" style="118" customWidth="1"/>
    <col min="15834" max="15834" width="13.140625" style="118" customWidth="1"/>
    <col min="15835" max="15835" width="10" style="118" customWidth="1"/>
    <col min="15836" max="15840" width="8" style="118" customWidth="1"/>
    <col min="15841" max="15841" width="9.140625" style="118" customWidth="1"/>
    <col min="15842" max="15842" width="14" style="118" customWidth="1"/>
    <col min="15843" max="15843" width="16.5703125" style="118" customWidth="1"/>
    <col min="15844" max="15844" width="12.7109375" style="118" customWidth="1"/>
    <col min="15845" max="15845" width="9.5703125" style="118" customWidth="1"/>
    <col min="15846" max="15848" width="9.140625" style="118" customWidth="1"/>
    <col min="15849" max="16078" width="9.140625" style="118"/>
    <col min="16079" max="16079" width="4.85546875" style="118" customWidth="1"/>
    <col min="16080" max="16080" width="63.85546875" style="118" customWidth="1"/>
    <col min="16081" max="16081" width="22.85546875" style="118" customWidth="1"/>
    <col min="16082" max="16082" width="32.140625" style="118" customWidth="1"/>
    <col min="16083" max="16083" width="24.85546875" style="118" customWidth="1"/>
    <col min="16084" max="16084" width="19.85546875" style="118" customWidth="1"/>
    <col min="16085" max="16085" width="18.28515625" style="118" customWidth="1"/>
    <col min="16086" max="16086" width="13.5703125" style="118" customWidth="1"/>
    <col min="16087" max="16087" width="19.85546875" style="118" customWidth="1"/>
    <col min="16088" max="16088" width="13.5703125" style="118" customWidth="1"/>
    <col min="16089" max="16089" width="10.5703125" style="118" customWidth="1"/>
    <col min="16090" max="16090" width="13.140625" style="118" customWidth="1"/>
    <col min="16091" max="16091" width="10" style="118" customWidth="1"/>
    <col min="16092" max="16096" width="8" style="118" customWidth="1"/>
    <col min="16097" max="16097" width="9.140625" style="118" customWidth="1"/>
    <col min="16098" max="16098" width="14" style="118" customWidth="1"/>
    <col min="16099" max="16099" width="16.5703125" style="118" customWidth="1"/>
    <col min="16100" max="16100" width="12.7109375" style="118" customWidth="1"/>
    <col min="16101" max="16101" width="9.5703125" style="118" customWidth="1"/>
    <col min="16102" max="16104" width="9.140625" style="118" customWidth="1"/>
    <col min="16105" max="16384" width="9.140625" style="118"/>
  </cols>
  <sheetData>
    <row r="2" spans="1:11" s="117" customFormat="1" ht="56.25" customHeight="1" x14ac:dyDescent="0.3">
      <c r="A2" s="201" t="s">
        <v>261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x14ac:dyDescent="0.3">
      <c r="K3" s="148" t="s">
        <v>262</v>
      </c>
    </row>
    <row r="4" spans="1:11" ht="51.75" customHeight="1" x14ac:dyDescent="0.3">
      <c r="A4" s="203" t="s">
        <v>0</v>
      </c>
      <c r="B4" s="203" t="s">
        <v>207</v>
      </c>
      <c r="C4" s="203" t="s">
        <v>208</v>
      </c>
      <c r="D4" s="204" t="s">
        <v>209</v>
      </c>
      <c r="E4" s="204" t="s">
        <v>210</v>
      </c>
      <c r="F4" s="204" t="s">
        <v>211</v>
      </c>
      <c r="G4" s="204" t="s">
        <v>212</v>
      </c>
      <c r="H4" s="204" t="s">
        <v>213</v>
      </c>
      <c r="I4" s="204"/>
      <c r="J4" s="204"/>
      <c r="K4" s="204"/>
    </row>
    <row r="5" spans="1:11" x14ac:dyDescent="0.3">
      <c r="A5" s="203"/>
      <c r="B5" s="203"/>
      <c r="C5" s="203"/>
      <c r="D5" s="204"/>
      <c r="E5" s="204"/>
      <c r="F5" s="204"/>
      <c r="G5" s="204"/>
      <c r="H5" s="204" t="s">
        <v>5</v>
      </c>
      <c r="I5" s="200" t="s">
        <v>214</v>
      </c>
      <c r="J5" s="200"/>
      <c r="K5" s="200"/>
    </row>
    <row r="6" spans="1:11" ht="34.5" x14ac:dyDescent="0.3">
      <c r="A6" s="203"/>
      <c r="B6" s="203"/>
      <c r="C6" s="203"/>
      <c r="D6" s="204"/>
      <c r="E6" s="204"/>
      <c r="F6" s="204"/>
      <c r="G6" s="204"/>
      <c r="H6" s="204"/>
      <c r="I6" s="132" t="s">
        <v>215</v>
      </c>
      <c r="J6" s="132" t="s">
        <v>216</v>
      </c>
      <c r="K6" s="132" t="s">
        <v>217</v>
      </c>
    </row>
    <row r="7" spans="1:11" ht="34.5" x14ac:dyDescent="0.3">
      <c r="A7" s="139"/>
      <c r="B7" s="140" t="s">
        <v>251</v>
      </c>
      <c r="C7" s="143" t="s">
        <v>218</v>
      </c>
      <c r="D7" s="123" t="s">
        <v>218</v>
      </c>
      <c r="E7" s="123" t="s">
        <v>219</v>
      </c>
      <c r="F7" s="123" t="s">
        <v>218</v>
      </c>
      <c r="G7" s="123" t="s">
        <v>218</v>
      </c>
      <c r="H7" s="123">
        <f>+I7+J7+K7</f>
        <v>5</v>
      </c>
      <c r="I7" s="123">
        <f>+I9</f>
        <v>5</v>
      </c>
      <c r="J7" s="123">
        <f>+J9</f>
        <v>0</v>
      </c>
      <c r="K7" s="123">
        <f>+K9</f>
        <v>0</v>
      </c>
    </row>
    <row r="8" spans="1:11" x14ac:dyDescent="0.3">
      <c r="A8" s="133"/>
      <c r="B8" s="129" t="s">
        <v>220</v>
      </c>
      <c r="C8" s="144"/>
      <c r="D8" s="123"/>
      <c r="E8" s="123"/>
      <c r="F8" s="123"/>
      <c r="G8" s="123"/>
      <c r="H8" s="123"/>
      <c r="I8" s="123"/>
      <c r="J8" s="123"/>
      <c r="K8" s="123"/>
    </row>
    <row r="9" spans="1:11" ht="29.25" customHeight="1" x14ac:dyDescent="0.3">
      <c r="A9" s="139">
        <v>1</v>
      </c>
      <c r="B9" s="141" t="s">
        <v>2</v>
      </c>
      <c r="C9" s="143" t="s">
        <v>218</v>
      </c>
      <c r="D9" s="123" t="s">
        <v>218</v>
      </c>
      <c r="E9" s="123" t="s">
        <v>219</v>
      </c>
      <c r="F9" s="123" t="s">
        <v>218</v>
      </c>
      <c r="G9" s="123" t="s">
        <v>218</v>
      </c>
      <c r="H9" s="123">
        <f>+I9+J9+K9</f>
        <v>5</v>
      </c>
      <c r="I9" s="123">
        <f>SUM(I10:I14)</f>
        <v>5</v>
      </c>
      <c r="J9" s="123">
        <f>SUM(J10:J14)</f>
        <v>0</v>
      </c>
      <c r="K9" s="123">
        <f>SUM(K10:K14)</f>
        <v>0</v>
      </c>
    </row>
    <row r="10" spans="1:11" ht="18.75" x14ac:dyDescent="0.3">
      <c r="A10" s="121"/>
      <c r="B10" s="122" t="s">
        <v>252</v>
      </c>
      <c r="C10" s="143"/>
      <c r="D10" s="124" t="s">
        <v>225</v>
      </c>
      <c r="E10" s="124" t="s">
        <v>263</v>
      </c>
      <c r="F10" s="125" t="s">
        <v>229</v>
      </c>
      <c r="G10" s="125" t="s">
        <v>221</v>
      </c>
      <c r="H10" s="123">
        <f>+I10+J10+K10</f>
        <v>1</v>
      </c>
      <c r="I10" s="125">
        <v>1</v>
      </c>
      <c r="J10" s="125"/>
      <c r="K10" s="125"/>
    </row>
    <row r="11" spans="1:11" ht="18.75" x14ac:dyDescent="0.3">
      <c r="A11" s="121"/>
      <c r="B11" s="122" t="s">
        <v>253</v>
      </c>
      <c r="C11" s="143"/>
      <c r="D11" s="124" t="s">
        <v>226</v>
      </c>
      <c r="E11" s="124" t="s">
        <v>255</v>
      </c>
      <c r="F11" s="125" t="s">
        <v>227</v>
      </c>
      <c r="G11" s="125" t="s">
        <v>221</v>
      </c>
      <c r="H11" s="123">
        <f t="shared" ref="H11:H14" si="0">+I11+J11+K11</f>
        <v>1</v>
      </c>
      <c r="I11" s="125">
        <v>1</v>
      </c>
      <c r="J11" s="125"/>
      <c r="K11" s="125"/>
    </row>
    <row r="12" spans="1:11" ht="18.75" x14ac:dyDescent="0.3">
      <c r="A12" s="121"/>
      <c r="B12" s="122" t="s">
        <v>254</v>
      </c>
      <c r="C12" s="143"/>
      <c r="D12" s="124" t="s">
        <v>222</v>
      </c>
      <c r="E12" s="124" t="s">
        <v>230</v>
      </c>
      <c r="F12" s="125" t="s">
        <v>228</v>
      </c>
      <c r="G12" s="125" t="s">
        <v>221</v>
      </c>
      <c r="H12" s="123">
        <f t="shared" si="0"/>
        <v>1</v>
      </c>
      <c r="I12" s="125">
        <v>1</v>
      </c>
      <c r="J12" s="125"/>
      <c r="K12" s="125"/>
    </row>
    <row r="13" spans="1:11" ht="18.75" x14ac:dyDescent="0.3">
      <c r="A13" s="121"/>
      <c r="B13" s="122" t="s">
        <v>254</v>
      </c>
      <c r="C13" s="143"/>
      <c r="D13" s="124" t="s">
        <v>222</v>
      </c>
      <c r="E13" s="124" t="s">
        <v>231</v>
      </c>
      <c r="F13" s="125" t="s">
        <v>227</v>
      </c>
      <c r="G13" s="125" t="s">
        <v>221</v>
      </c>
      <c r="H13" s="123">
        <f t="shared" si="0"/>
        <v>1</v>
      </c>
      <c r="I13" s="125">
        <v>1</v>
      </c>
      <c r="J13" s="125"/>
      <c r="K13" s="125"/>
    </row>
    <row r="14" spans="1:11" ht="18.75" x14ac:dyDescent="0.3">
      <c r="A14" s="121"/>
      <c r="B14" s="122" t="s">
        <v>256</v>
      </c>
      <c r="C14" s="143"/>
      <c r="D14" s="124" t="s">
        <v>222</v>
      </c>
      <c r="E14" s="124" t="s">
        <v>232</v>
      </c>
      <c r="F14" s="125" t="s">
        <v>229</v>
      </c>
      <c r="G14" s="125" t="s">
        <v>221</v>
      </c>
      <c r="H14" s="123">
        <f t="shared" si="0"/>
        <v>1</v>
      </c>
      <c r="I14" s="125">
        <v>1</v>
      </c>
      <c r="J14" s="125"/>
      <c r="K14" s="125"/>
    </row>
    <row r="15" spans="1:11" ht="51.75" x14ac:dyDescent="0.3">
      <c r="A15" s="139">
        <v>2</v>
      </c>
      <c r="B15" s="141" t="s">
        <v>236</v>
      </c>
      <c r="C15" s="143" t="s">
        <v>218</v>
      </c>
      <c r="D15" s="123" t="s">
        <v>218</v>
      </c>
      <c r="E15" s="123" t="s">
        <v>219</v>
      </c>
      <c r="F15" s="123" t="s">
        <v>218</v>
      </c>
      <c r="G15" s="123" t="s">
        <v>218</v>
      </c>
      <c r="H15" s="123">
        <f>+I15+J15+K15</f>
        <v>2</v>
      </c>
      <c r="I15" s="123">
        <f>SUM(I16:I17)</f>
        <v>0</v>
      </c>
      <c r="J15" s="123">
        <f>SUM(J16:J17)</f>
        <v>2</v>
      </c>
      <c r="K15" s="123">
        <f>SUM(K16:K17)</f>
        <v>0</v>
      </c>
    </row>
    <row r="16" spans="1:11" s="7" customFormat="1" ht="18.75" x14ac:dyDescent="0.25">
      <c r="A16" s="134"/>
      <c r="B16" s="135" t="s">
        <v>224</v>
      </c>
      <c r="C16" s="145"/>
      <c r="D16" s="126" t="s">
        <v>223</v>
      </c>
      <c r="E16" s="126" t="s">
        <v>237</v>
      </c>
      <c r="F16" s="136" t="s">
        <v>229</v>
      </c>
      <c r="G16" s="136" t="s">
        <v>221</v>
      </c>
      <c r="H16" s="137">
        <f t="shared" ref="H16:H17" si="1">+I16+J16+K16</f>
        <v>1</v>
      </c>
      <c r="I16" s="136"/>
      <c r="J16" s="136">
        <v>1</v>
      </c>
      <c r="K16" s="136"/>
    </row>
    <row r="17" spans="1:18" s="7" customFormat="1" ht="18.75" x14ac:dyDescent="0.25">
      <c r="A17" s="134"/>
      <c r="B17" s="135" t="s">
        <v>224</v>
      </c>
      <c r="C17" s="145"/>
      <c r="D17" s="126" t="s">
        <v>238</v>
      </c>
      <c r="E17" s="138" t="s">
        <v>239</v>
      </c>
      <c r="F17" s="136" t="s">
        <v>240</v>
      </c>
      <c r="G17" s="136" t="s">
        <v>221</v>
      </c>
      <c r="H17" s="137">
        <f t="shared" si="1"/>
        <v>1</v>
      </c>
      <c r="I17" s="136"/>
      <c r="J17" s="136">
        <v>1</v>
      </c>
      <c r="K17" s="136"/>
    </row>
    <row r="18" spans="1:18" ht="29.25" customHeight="1" x14ac:dyDescent="0.3">
      <c r="A18" s="139">
        <v>3</v>
      </c>
      <c r="B18" s="141" t="s">
        <v>241</v>
      </c>
      <c r="C18" s="143" t="s">
        <v>218</v>
      </c>
      <c r="D18" s="123" t="s">
        <v>218</v>
      </c>
      <c r="E18" s="123" t="s">
        <v>219</v>
      </c>
      <c r="F18" s="123" t="s">
        <v>218</v>
      </c>
      <c r="G18" s="123" t="s">
        <v>218</v>
      </c>
      <c r="H18" s="123">
        <f>+H19+H20</f>
        <v>2</v>
      </c>
      <c r="I18" s="123">
        <f>+I19+I20</f>
        <v>2</v>
      </c>
      <c r="J18" s="123">
        <f>+J19+J20</f>
        <v>0</v>
      </c>
      <c r="K18" s="123">
        <f>+K19+K20</f>
        <v>0</v>
      </c>
    </row>
    <row r="19" spans="1:18" ht="18.75" x14ac:dyDescent="0.3">
      <c r="A19" s="121"/>
      <c r="B19" s="129" t="s">
        <v>234</v>
      </c>
      <c r="C19" s="146"/>
      <c r="D19" s="126" t="s">
        <v>223</v>
      </c>
      <c r="E19" s="124" t="s">
        <v>257</v>
      </c>
      <c r="F19" s="128">
        <v>2022</v>
      </c>
      <c r="G19" s="128" t="s">
        <v>221</v>
      </c>
      <c r="H19" s="127">
        <f t="shared" ref="H19:H20" si="2">+I19+J19+K19</f>
        <v>1</v>
      </c>
      <c r="I19" s="128">
        <v>1</v>
      </c>
      <c r="J19" s="128"/>
      <c r="K19" s="127"/>
      <c r="L19" s="119"/>
      <c r="M19" s="119"/>
      <c r="N19" s="119"/>
      <c r="O19" s="119"/>
      <c r="P19" s="119"/>
      <c r="Q19" s="119"/>
      <c r="R19" s="119"/>
    </row>
    <row r="20" spans="1:18" ht="18.75" x14ac:dyDescent="0.3">
      <c r="A20" s="121"/>
      <c r="B20" s="130" t="s">
        <v>224</v>
      </c>
      <c r="C20" s="146"/>
      <c r="D20" s="126" t="s">
        <v>259</v>
      </c>
      <c r="E20" s="124" t="s">
        <v>258</v>
      </c>
      <c r="F20" s="128">
        <v>2022</v>
      </c>
      <c r="G20" s="128" t="s">
        <v>221</v>
      </c>
      <c r="H20" s="127">
        <f t="shared" si="2"/>
        <v>1</v>
      </c>
      <c r="I20" s="128">
        <v>1</v>
      </c>
      <c r="J20" s="128"/>
      <c r="K20" s="127"/>
      <c r="L20" s="119"/>
      <c r="M20" s="119"/>
      <c r="N20" s="119"/>
      <c r="O20" s="119"/>
      <c r="P20" s="119"/>
      <c r="Q20" s="119"/>
      <c r="R20" s="119"/>
    </row>
    <row r="21" spans="1:18" ht="29.25" customHeight="1" x14ac:dyDescent="0.3">
      <c r="A21" s="139">
        <v>4</v>
      </c>
      <c r="B21" s="141" t="s">
        <v>242</v>
      </c>
      <c r="C21" s="143" t="s">
        <v>218</v>
      </c>
      <c r="D21" s="123" t="s">
        <v>218</v>
      </c>
      <c r="E21" s="123" t="s">
        <v>219</v>
      </c>
      <c r="F21" s="123" t="s">
        <v>218</v>
      </c>
      <c r="G21" s="123" t="s">
        <v>218</v>
      </c>
      <c r="H21" s="123">
        <f>+H22+H23</f>
        <v>2</v>
      </c>
      <c r="I21" s="123">
        <f t="shared" ref="I21:K21" si="3">+I22+I23</f>
        <v>0</v>
      </c>
      <c r="J21" s="123">
        <f t="shared" si="3"/>
        <v>1</v>
      </c>
      <c r="K21" s="123">
        <f t="shared" si="3"/>
        <v>1</v>
      </c>
    </row>
    <row r="22" spans="1:18" ht="18.75" x14ac:dyDescent="0.3">
      <c r="A22" s="121"/>
      <c r="B22" s="130" t="s">
        <v>224</v>
      </c>
      <c r="C22" s="146"/>
      <c r="D22" s="126" t="s">
        <v>223</v>
      </c>
      <c r="E22" s="124" t="s">
        <v>250</v>
      </c>
      <c r="F22" s="128"/>
      <c r="G22" s="128"/>
      <c r="H22" s="127">
        <v>1</v>
      </c>
      <c r="I22" s="128"/>
      <c r="J22" s="125">
        <v>1</v>
      </c>
      <c r="K22" s="127"/>
      <c r="L22" s="142"/>
      <c r="M22" s="142"/>
      <c r="N22" s="142"/>
      <c r="O22" s="142"/>
      <c r="P22" s="142"/>
      <c r="Q22" s="142"/>
      <c r="R22" s="142"/>
    </row>
    <row r="23" spans="1:18" ht="18.75" x14ac:dyDescent="0.3">
      <c r="A23" s="121"/>
      <c r="B23" s="130" t="s">
        <v>233</v>
      </c>
      <c r="C23" s="146"/>
      <c r="D23" s="126" t="s">
        <v>243</v>
      </c>
      <c r="E23" s="124" t="s">
        <v>244</v>
      </c>
      <c r="F23" s="128">
        <v>2001</v>
      </c>
      <c r="G23" s="128" t="s">
        <v>221</v>
      </c>
      <c r="H23" s="127">
        <v>1</v>
      </c>
      <c r="I23" s="128"/>
      <c r="J23" s="128"/>
      <c r="K23" s="125">
        <v>1</v>
      </c>
      <c r="L23" s="142"/>
      <c r="M23" s="142"/>
      <c r="N23" s="142"/>
      <c r="O23" s="142"/>
      <c r="P23" s="142"/>
      <c r="Q23" s="142"/>
      <c r="R23" s="142"/>
    </row>
    <row r="24" spans="1:18" ht="29.25" customHeight="1" x14ac:dyDescent="0.3">
      <c r="A24" s="139">
        <v>5</v>
      </c>
      <c r="B24" s="140" t="s">
        <v>245</v>
      </c>
      <c r="C24" s="143" t="s">
        <v>218</v>
      </c>
      <c r="D24" s="123" t="s">
        <v>218</v>
      </c>
      <c r="E24" s="123" t="s">
        <v>219</v>
      </c>
      <c r="F24" s="123" t="s">
        <v>218</v>
      </c>
      <c r="G24" s="123" t="s">
        <v>218</v>
      </c>
      <c r="H24" s="123">
        <f>SUM(H25:H28)</f>
        <v>4</v>
      </c>
      <c r="I24" s="123">
        <f t="shared" ref="I24:K24" si="4">SUM(I25:I28)</f>
        <v>2</v>
      </c>
      <c r="J24" s="123">
        <f t="shared" si="4"/>
        <v>2</v>
      </c>
      <c r="K24" s="123">
        <f t="shared" si="4"/>
        <v>0</v>
      </c>
    </row>
    <row r="25" spans="1:18" ht="18.75" x14ac:dyDescent="0.3">
      <c r="A25" s="121"/>
      <c r="B25" s="129" t="s">
        <v>234</v>
      </c>
      <c r="C25" s="147"/>
      <c r="D25" s="126" t="s">
        <v>223</v>
      </c>
      <c r="E25" s="124" t="s">
        <v>246</v>
      </c>
      <c r="F25" s="128">
        <v>2020</v>
      </c>
      <c r="G25" s="128" t="s">
        <v>221</v>
      </c>
      <c r="H25" s="127">
        <v>1</v>
      </c>
      <c r="I25" s="128">
        <v>1</v>
      </c>
      <c r="J25" s="128"/>
      <c r="K25" s="127"/>
      <c r="L25" s="119"/>
      <c r="M25" s="119"/>
      <c r="N25" s="119"/>
      <c r="O25" s="119"/>
      <c r="P25" s="119"/>
      <c r="Q25" s="119"/>
      <c r="R25" s="119"/>
    </row>
    <row r="26" spans="1:18" ht="18.75" x14ac:dyDescent="0.3">
      <c r="A26" s="121"/>
      <c r="B26" s="129" t="s">
        <v>235</v>
      </c>
      <c r="C26" s="147"/>
      <c r="D26" s="126" t="s">
        <v>223</v>
      </c>
      <c r="E26" s="124" t="s">
        <v>247</v>
      </c>
      <c r="F26" s="128">
        <v>2019</v>
      </c>
      <c r="G26" s="128" t="s">
        <v>221</v>
      </c>
      <c r="H26" s="127">
        <v>1</v>
      </c>
      <c r="I26" s="128">
        <v>1</v>
      </c>
      <c r="J26" s="128"/>
      <c r="K26" s="127"/>
      <c r="L26" s="119"/>
      <c r="M26" s="119"/>
      <c r="N26" s="119"/>
      <c r="O26" s="119"/>
      <c r="P26" s="119"/>
      <c r="Q26" s="119"/>
      <c r="R26" s="119"/>
    </row>
    <row r="27" spans="1:18" ht="18.75" x14ac:dyDescent="0.3">
      <c r="A27" s="121"/>
      <c r="B27" s="130" t="s">
        <v>224</v>
      </c>
      <c r="C27" s="147"/>
      <c r="D27" s="126" t="s">
        <v>259</v>
      </c>
      <c r="E27" s="124" t="s">
        <v>248</v>
      </c>
      <c r="F27" s="128">
        <v>2019</v>
      </c>
      <c r="G27" s="128" t="s">
        <v>221</v>
      </c>
      <c r="H27" s="127">
        <v>1</v>
      </c>
      <c r="I27" s="128"/>
      <c r="J27" s="128">
        <v>1</v>
      </c>
      <c r="K27" s="127"/>
      <c r="L27" s="119"/>
      <c r="M27" s="119"/>
      <c r="N27" s="119"/>
      <c r="O27" s="119"/>
      <c r="P27" s="119"/>
      <c r="Q27" s="119"/>
      <c r="R27" s="119"/>
    </row>
    <row r="28" spans="1:18" ht="18.75" x14ac:dyDescent="0.3">
      <c r="A28" s="121"/>
      <c r="B28" s="130" t="s">
        <v>224</v>
      </c>
      <c r="C28" s="147"/>
      <c r="D28" s="126" t="s">
        <v>260</v>
      </c>
      <c r="E28" s="124" t="s">
        <v>249</v>
      </c>
      <c r="F28" s="128">
        <v>2018</v>
      </c>
      <c r="G28" s="128" t="s">
        <v>221</v>
      </c>
      <c r="H28" s="127">
        <v>1</v>
      </c>
      <c r="I28" s="128"/>
      <c r="J28" s="128">
        <v>1</v>
      </c>
      <c r="K28" s="127"/>
      <c r="L28" s="119"/>
      <c r="M28" s="119"/>
      <c r="N28" s="119"/>
      <c r="O28" s="119"/>
      <c r="P28" s="119"/>
      <c r="Q28" s="119"/>
      <c r="R28" s="119"/>
    </row>
  </sheetData>
  <mergeCells count="11">
    <mergeCell ref="I5:K5"/>
    <mergeCell ref="A2:K2"/>
    <mergeCell ref="A4:A6"/>
    <mergeCell ref="B4:B6"/>
    <mergeCell ref="C4:C6"/>
    <mergeCell ref="D4:D6"/>
    <mergeCell ref="E4:E6"/>
    <mergeCell ref="F4:F6"/>
    <mergeCell ref="G4:G6"/>
    <mergeCell ref="H4:K4"/>
    <mergeCell ref="H5:H6"/>
  </mergeCells>
  <pageMargins left="0.31496062992125984" right="0.31496062992125984" top="0.35433070866141736" bottom="0.35433070866141736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1</vt:lpstr>
      <vt:lpstr>2</vt:lpstr>
      <vt:lpstr>3</vt:lpstr>
      <vt:lpstr>4</vt:lpstr>
      <vt:lpstr>Таклиф (25.10.2022)</vt:lpstr>
      <vt:lpstr>Таклиф (30.10.2022)</vt:lpstr>
      <vt:lpstr>Таклиф (01.11.2022)</vt:lpstr>
      <vt:lpstr>Жадвал</vt:lpstr>
      <vt:lpstr>'2'!Заголовки_для_печати</vt:lpstr>
      <vt:lpstr>'3'!Заголовки_для_печати</vt:lpstr>
      <vt:lpstr>'4'!Заголовки_для_печати</vt:lpstr>
      <vt:lpstr>'Таклиф (01.11.2022)'!Заголовки_для_печати</vt:lpstr>
      <vt:lpstr>'Таклиф (25.10.2022)'!Заголовки_для_печати</vt:lpstr>
      <vt:lpstr>'Таклиф (30.10.2022)'!Заголовки_для_печати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  <vt:lpstr>'Таклиф (01.11.2022)'!Область_печати</vt:lpstr>
      <vt:lpstr>'Таклиф (25.10.2022)'!Область_печати</vt:lpstr>
      <vt:lpstr>'Таклиф (30.10.2022)'!Область_печати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Doston Niyozov</dc:creator>
  <cp:lastModifiedBy>Зикиров Кахрамон</cp:lastModifiedBy>
  <cp:lastPrinted>2023-10-18T07:13:53Z</cp:lastPrinted>
  <dcterms:created xsi:type="dcterms:W3CDTF">2022-10-19T14:53:15Z</dcterms:created>
  <dcterms:modified xsi:type="dcterms:W3CDTF">2024-04-22T14:32:26Z</dcterms:modified>
</cp:coreProperties>
</file>