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0" yWindow="0" windowWidth="28800" windowHeight="12300"/>
  </bookViews>
  <sheets>
    <sheet name="Лист5" sheetId="1" r:id="rId1"/>
  </sheets>
  <definedNames>
    <definedName name="_xlnm._FilterDatabase" localSheetId="0" hidden="1">Лист5!$A$3:$J$667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67" i="1" l="1"/>
  <c r="E667" i="1"/>
  <c r="F665" i="1"/>
  <c r="G665" i="1"/>
  <c r="E665" i="1"/>
  <c r="E661" i="1"/>
  <c r="E658" i="1"/>
  <c r="E642" i="1"/>
  <c r="F635" i="1"/>
  <c r="E635" i="1"/>
  <c r="E632" i="1"/>
  <c r="F628" i="1"/>
  <c r="E628" i="1"/>
  <c r="F626" i="1"/>
  <c r="E626" i="1"/>
  <c r="E616" i="1"/>
  <c r="E598" i="1"/>
  <c r="F577" i="1"/>
  <c r="E577" i="1"/>
  <c r="F574" i="1"/>
  <c r="E574" i="1"/>
  <c r="F570" i="1"/>
  <c r="E570" i="1"/>
  <c r="F564" i="1"/>
  <c r="G564" i="1"/>
  <c r="E564" i="1"/>
  <c r="E562" i="1"/>
  <c r="E559" i="1"/>
  <c r="F545" i="1"/>
  <c r="E545" i="1"/>
  <c r="F543" i="1"/>
  <c r="E543" i="1"/>
  <c r="F540" i="1"/>
  <c r="E540" i="1"/>
  <c r="F538" i="1"/>
  <c r="E538" i="1"/>
  <c r="F536" i="1"/>
  <c r="E536" i="1"/>
  <c r="F528" i="1"/>
  <c r="G528" i="1"/>
  <c r="E528" i="1"/>
  <c r="E524" i="1"/>
  <c r="E522" i="1"/>
  <c r="E503" i="1"/>
  <c r="E497" i="1"/>
  <c r="F495" i="1"/>
  <c r="E495" i="1"/>
  <c r="F493" i="1"/>
  <c r="E493" i="1"/>
  <c r="F491" i="1"/>
  <c r="G491" i="1"/>
  <c r="E491" i="1"/>
  <c r="F488" i="1"/>
  <c r="E488" i="1"/>
  <c r="F485" i="1"/>
  <c r="E485" i="1"/>
  <c r="E480" i="1"/>
  <c r="E477" i="1"/>
  <c r="F474" i="1"/>
  <c r="E474" i="1"/>
  <c r="F461" i="1"/>
  <c r="E461" i="1"/>
  <c r="F458" i="1"/>
  <c r="E458" i="1"/>
  <c r="F452" i="1"/>
  <c r="E452" i="1"/>
  <c r="F450" i="1"/>
  <c r="G450" i="1"/>
  <c r="E450" i="1"/>
  <c r="F447" i="1"/>
  <c r="G447" i="1"/>
  <c r="E447" i="1"/>
  <c r="E443" i="1"/>
  <c r="E440" i="1"/>
  <c r="E433" i="1"/>
  <c r="F421" i="1"/>
  <c r="E421" i="1"/>
  <c r="E419" i="1"/>
  <c r="F407" i="1"/>
  <c r="E407" i="1"/>
  <c r="G401" i="1"/>
  <c r="E401" i="1"/>
  <c r="E398" i="1"/>
  <c r="E390" i="1"/>
  <c r="F378" i="1"/>
  <c r="E378" i="1"/>
  <c r="F371" i="1"/>
  <c r="G371" i="1"/>
  <c r="E371" i="1"/>
  <c r="E368" i="1"/>
  <c r="F366" i="1"/>
  <c r="E366" i="1"/>
  <c r="E359" i="1"/>
  <c r="F352" i="1"/>
  <c r="E352" i="1"/>
  <c r="F349" i="1"/>
  <c r="E349" i="1"/>
  <c r="G344" i="1"/>
  <c r="E344" i="1"/>
  <c r="G326" i="1"/>
  <c r="E326" i="1"/>
  <c r="E316" i="1"/>
  <c r="F311" i="1"/>
  <c r="E311" i="1"/>
  <c r="E305" i="1"/>
  <c r="G297" i="1"/>
  <c r="E297" i="1"/>
  <c r="F289" i="1"/>
  <c r="E289" i="1"/>
  <c r="E287" i="1"/>
  <c r="F271" i="1"/>
  <c r="E271" i="1"/>
  <c r="E269" i="1"/>
  <c r="G237" i="1"/>
  <c r="E237" i="1"/>
  <c r="F231" i="1"/>
  <c r="E231" i="1"/>
  <c r="E228" i="1"/>
  <c r="E225" i="1"/>
  <c r="F218" i="1"/>
  <c r="E218" i="1"/>
  <c r="F216" i="1"/>
  <c r="E216" i="1"/>
  <c r="F212" i="1"/>
  <c r="E212" i="1"/>
  <c r="F210" i="1"/>
  <c r="E210" i="1"/>
  <c r="E204" i="1"/>
  <c r="G198" i="1"/>
  <c r="E198" i="1"/>
  <c r="E196" i="1"/>
  <c r="E186" i="1"/>
  <c r="F182" i="1"/>
  <c r="G182" i="1"/>
  <c r="E182" i="1"/>
  <c r="F179" i="1"/>
  <c r="E179" i="1"/>
  <c r="F174" i="1"/>
  <c r="G174" i="1"/>
  <c r="E174" i="1"/>
  <c r="E172" i="1"/>
  <c r="F169" i="1"/>
  <c r="G169" i="1"/>
  <c r="E169" i="1"/>
  <c r="F167" i="1"/>
  <c r="G167" i="1"/>
  <c r="E167" i="1"/>
  <c r="E163" i="1"/>
  <c r="E158" i="1"/>
  <c r="F148" i="1"/>
  <c r="E148" i="1"/>
  <c r="F146" i="1"/>
  <c r="E146" i="1"/>
  <c r="G141" i="1"/>
  <c r="E141" i="1"/>
  <c r="E139" i="1"/>
  <c r="E127" i="1"/>
  <c r="E124" i="1"/>
  <c r="F116" i="1"/>
  <c r="E116" i="1"/>
  <c r="E113" i="1"/>
  <c r="E106" i="1"/>
  <c r="E104" i="1"/>
  <c r="E94" i="1"/>
  <c r="F92" i="1"/>
  <c r="E92" i="1"/>
  <c r="E90" i="1"/>
  <c r="E77" i="1"/>
  <c r="E66" i="1"/>
  <c r="F57" i="1"/>
  <c r="E57" i="1"/>
  <c r="E54" i="1"/>
  <c r="F39" i="1"/>
  <c r="E39" i="1"/>
  <c r="E30" i="1"/>
  <c r="G25" i="1"/>
  <c r="F25" i="1"/>
  <c r="E25" i="1"/>
  <c r="E23" i="1"/>
  <c r="E18" i="1"/>
  <c r="E13" i="1"/>
  <c r="G666" i="1" l="1"/>
  <c r="G634" i="1"/>
  <c r="H634" i="1" s="1"/>
  <c r="G625" i="1"/>
  <c r="G615" i="1"/>
  <c r="G614" i="1"/>
  <c r="G597" i="1"/>
  <c r="H597" i="1" s="1"/>
  <c r="F561" i="1"/>
  <c r="H666" i="1" l="1"/>
  <c r="H667" i="1" s="1"/>
  <c r="G667" i="1"/>
  <c r="G561" i="1"/>
  <c r="G539" i="1"/>
  <c r="G537" i="1"/>
  <c r="H527" i="1"/>
  <c r="G518" i="1"/>
  <c r="F518" i="1"/>
  <c r="E518" i="1"/>
  <c r="E519" i="1" s="1"/>
  <c r="G476" i="1"/>
  <c r="F476" i="1"/>
  <c r="F477" i="1" s="1"/>
  <c r="G467" i="1"/>
  <c r="F467" i="1"/>
  <c r="E467" i="1"/>
  <c r="E468" i="1" s="1"/>
  <c r="G457" i="1"/>
  <c r="H457" i="1" s="1"/>
  <c r="G442" i="1"/>
  <c r="F442" i="1"/>
  <c r="F443" i="1" s="1"/>
  <c r="G431" i="1"/>
  <c r="H431" i="1" s="1"/>
  <c r="G429" i="1"/>
  <c r="H429" i="1" s="1"/>
  <c r="H430" i="1"/>
  <c r="H432" i="1"/>
  <c r="G420" i="1"/>
  <c r="F400" i="1"/>
  <c r="G397" i="1"/>
  <c r="F397" i="1"/>
  <c r="G385" i="1"/>
  <c r="F385" i="1"/>
  <c r="E385" i="1"/>
  <c r="G384" i="1"/>
  <c r="H384" i="1" s="1"/>
  <c r="G358" i="1"/>
  <c r="F358" i="1"/>
  <c r="F367" i="1"/>
  <c r="F368" i="1" s="1"/>
  <c r="G367" i="1"/>
  <c r="G368" i="1" s="1"/>
  <c r="H342" i="1"/>
  <c r="H343" i="1"/>
  <c r="H315" i="1"/>
  <c r="H537" i="1" l="1"/>
  <c r="H538" i="1" s="1"/>
  <c r="G538" i="1"/>
  <c r="H400" i="1"/>
  <c r="F401" i="1"/>
  <c r="H420" i="1"/>
  <c r="H421" i="1" s="1"/>
  <c r="G421" i="1"/>
  <c r="H539" i="1"/>
  <c r="H540" i="1" s="1"/>
  <c r="G540" i="1"/>
  <c r="H561" i="1"/>
  <c r="G562" i="1"/>
  <c r="H367" i="1"/>
  <c r="H368" i="1" s="1"/>
  <c r="H442" i="1"/>
  <c r="H476" i="1"/>
  <c r="H358" i="1"/>
  <c r="H397" i="1"/>
  <c r="H467" i="1"/>
  <c r="H385" i="1"/>
  <c r="G310" i="1"/>
  <c r="H310" i="1" s="1"/>
  <c r="G304" i="1"/>
  <c r="F304" i="1"/>
  <c r="H296" i="1"/>
  <c r="G288" i="1"/>
  <c r="H288" i="1" l="1"/>
  <c r="H289" i="1" s="1"/>
  <c r="G289" i="1"/>
  <c r="H304" i="1"/>
  <c r="G268" i="1"/>
  <c r="F268" i="1" l="1"/>
  <c r="G267" i="1"/>
  <c r="G250" i="1"/>
  <c r="F250" i="1"/>
  <c r="E250" i="1"/>
  <c r="F236" i="1"/>
  <c r="H236" i="1" s="1"/>
  <c r="G215" i="1"/>
  <c r="H215" i="1" s="1"/>
  <c r="G227" i="1"/>
  <c r="H227" i="1" s="1"/>
  <c r="F226" i="1"/>
  <c r="F228" i="1" s="1"/>
  <c r="G226" i="1"/>
  <c r="G228" i="1" s="1"/>
  <c r="G211" i="1"/>
  <c r="G195" i="1"/>
  <c r="H195" i="1" s="1"/>
  <c r="G194" i="1"/>
  <c r="G185" i="1"/>
  <c r="F185" i="1"/>
  <c r="G178" i="1"/>
  <c r="G177" i="1"/>
  <c r="G157" i="1"/>
  <c r="F157" i="1"/>
  <c r="G156" i="1"/>
  <c r="H156" i="1" s="1"/>
  <c r="G155" i="1"/>
  <c r="F155" i="1"/>
  <c r="H154" i="1"/>
  <c r="G122" i="1"/>
  <c r="F122" i="1"/>
  <c r="F124" i="1" s="1"/>
  <c r="H123" i="1"/>
  <c r="G121" i="1"/>
  <c r="H121" i="1" s="1"/>
  <c r="G103" i="1"/>
  <c r="F103" i="1"/>
  <c r="F104" i="1" s="1"/>
  <c r="F76" i="1"/>
  <c r="F77" i="1" s="1"/>
  <c r="G75" i="1"/>
  <c r="G65" i="1"/>
  <c r="F65" i="1"/>
  <c r="G47" i="1"/>
  <c r="F47" i="1"/>
  <c r="E47" i="1"/>
  <c r="G46" i="1"/>
  <c r="H46" i="1" s="1"/>
  <c r="G29" i="1"/>
  <c r="F29" i="1"/>
  <c r="G22" i="1"/>
  <c r="G23" i="1" s="1"/>
  <c r="F22" i="1"/>
  <c r="F23" i="1" s="1"/>
  <c r="G17" i="1"/>
  <c r="G16" i="1"/>
  <c r="F16" i="1"/>
  <c r="H211" i="1" l="1"/>
  <c r="H212" i="1" s="1"/>
  <c r="G212" i="1"/>
  <c r="H22" i="1"/>
  <c r="H122" i="1"/>
  <c r="H226" i="1"/>
  <c r="H228" i="1" s="1"/>
  <c r="H250" i="1"/>
  <c r="H65" i="1"/>
  <c r="H155" i="1"/>
  <c r="H16" i="1"/>
  <c r="H157" i="1"/>
  <c r="H185" i="1"/>
  <c r="H29" i="1"/>
  <c r="H47" i="1"/>
  <c r="H17" i="1" l="1"/>
  <c r="F12" i="1"/>
  <c r="H12" i="1" s="1"/>
  <c r="G11" i="1"/>
  <c r="H11" i="1" s="1"/>
  <c r="G350" i="1"/>
  <c r="H351" i="1"/>
  <c r="G612" i="1"/>
  <c r="F612" i="1"/>
  <c r="H613" i="1"/>
  <c r="H614" i="1"/>
  <c r="H615" i="1"/>
  <c r="H624" i="1"/>
  <c r="H625" i="1"/>
  <c r="G517" i="1"/>
  <c r="H517" i="1" s="1"/>
  <c r="H518" i="1"/>
  <c r="G265" i="1"/>
  <c r="H265" i="1" s="1"/>
  <c r="H266" i="1"/>
  <c r="H267" i="1"/>
  <c r="H268" i="1"/>
  <c r="H102" i="1"/>
  <c r="H103" i="1"/>
  <c r="H75" i="1"/>
  <c r="H76" i="1"/>
  <c r="H350" i="1" l="1"/>
  <c r="H352" i="1" s="1"/>
  <c r="G352" i="1"/>
  <c r="H612" i="1"/>
  <c r="G542" i="1"/>
  <c r="H542" i="1" s="1"/>
  <c r="G203" i="1"/>
  <c r="F203" i="1"/>
  <c r="G193" i="1"/>
  <c r="H193" i="1" s="1"/>
  <c r="G192" i="1"/>
  <c r="H192" i="1" s="1"/>
  <c r="H194" i="1"/>
  <c r="G176" i="1"/>
  <c r="H176" i="1" s="1"/>
  <c r="H177" i="1"/>
  <c r="H178" i="1"/>
  <c r="G138" i="1"/>
  <c r="F138" i="1"/>
  <c r="G126" i="1"/>
  <c r="H126" i="1" s="1"/>
  <c r="G120" i="1"/>
  <c r="G112" i="1"/>
  <c r="H112" i="1" s="1"/>
  <c r="G110" i="1"/>
  <c r="H110" i="1" s="1"/>
  <c r="G111" i="1"/>
  <c r="F111" i="1"/>
  <c r="G109" i="1"/>
  <c r="H109" i="1" s="1"/>
  <c r="H120" i="1" l="1"/>
  <c r="G124" i="1"/>
  <c r="H111" i="1"/>
  <c r="H138" i="1"/>
  <c r="H203" i="1"/>
  <c r="G115" i="1"/>
  <c r="G116" i="1" s="1"/>
  <c r="H114" i="1"/>
  <c r="F89" i="1"/>
  <c r="G88" i="1"/>
  <c r="F88" i="1"/>
  <c r="H88" i="1" l="1"/>
  <c r="H664" i="1"/>
  <c r="H663" i="1"/>
  <c r="H662" i="1"/>
  <c r="G660" i="1"/>
  <c r="F660" i="1"/>
  <c r="G659" i="1"/>
  <c r="F659" i="1"/>
  <c r="F661" i="1" s="1"/>
  <c r="H657" i="1"/>
  <c r="F656" i="1"/>
  <c r="H656" i="1" s="1"/>
  <c r="G655" i="1"/>
  <c r="H655" i="1" s="1"/>
  <c r="G654" i="1"/>
  <c r="F653" i="1"/>
  <c r="H652" i="1"/>
  <c r="H651" i="1"/>
  <c r="H650" i="1"/>
  <c r="H649" i="1"/>
  <c r="H648" i="1"/>
  <c r="H647" i="1"/>
  <c r="H646" i="1"/>
  <c r="H645" i="1"/>
  <c r="H644" i="1"/>
  <c r="H643" i="1"/>
  <c r="H641" i="1"/>
  <c r="G640" i="1"/>
  <c r="H640" i="1" s="1"/>
  <c r="G639" i="1"/>
  <c r="F639" i="1"/>
  <c r="F642" i="1" s="1"/>
  <c r="H638" i="1"/>
  <c r="G637" i="1"/>
  <c r="H637" i="1" s="1"/>
  <c r="G636" i="1"/>
  <c r="G633" i="1"/>
  <c r="G631" i="1"/>
  <c r="G632" i="1" s="1"/>
  <c r="F631" i="1"/>
  <c r="F632" i="1" s="1"/>
  <c r="H630" i="1"/>
  <c r="H629" i="1"/>
  <c r="G627" i="1"/>
  <c r="G628" i="1" s="1"/>
  <c r="H623" i="1"/>
  <c r="H622" i="1"/>
  <c r="G621" i="1"/>
  <c r="H620" i="1"/>
  <c r="H619" i="1"/>
  <c r="H618" i="1"/>
  <c r="H617" i="1"/>
  <c r="G611" i="1"/>
  <c r="F611" i="1"/>
  <c r="H610" i="1"/>
  <c r="G609" i="1"/>
  <c r="H609" i="1" s="1"/>
  <c r="H608" i="1"/>
  <c r="H607" i="1"/>
  <c r="G606" i="1"/>
  <c r="H606" i="1" s="1"/>
  <c r="H605" i="1"/>
  <c r="H604" i="1"/>
  <c r="G603" i="1"/>
  <c r="F603" i="1"/>
  <c r="H602" i="1"/>
  <c r="H601" i="1"/>
  <c r="G600" i="1"/>
  <c r="H599" i="1"/>
  <c r="G596" i="1"/>
  <c r="F596" i="1"/>
  <c r="G595" i="1"/>
  <c r="F595" i="1"/>
  <c r="G594" i="1"/>
  <c r="H594" i="1" s="1"/>
  <c r="G593" i="1"/>
  <c r="F593" i="1"/>
  <c r="G592" i="1"/>
  <c r="F592" i="1"/>
  <c r="G591" i="1"/>
  <c r="H591" i="1" s="1"/>
  <c r="G590" i="1"/>
  <c r="H590" i="1" s="1"/>
  <c r="G589" i="1"/>
  <c r="H589" i="1" s="1"/>
  <c r="G588" i="1"/>
  <c r="H588" i="1" s="1"/>
  <c r="H587" i="1"/>
  <c r="G586" i="1"/>
  <c r="F586" i="1"/>
  <c r="G585" i="1"/>
  <c r="F585" i="1"/>
  <c r="G584" i="1"/>
  <c r="H584" i="1" s="1"/>
  <c r="G583" i="1"/>
  <c r="H583" i="1" s="1"/>
  <c r="G582" i="1"/>
  <c r="F582" i="1"/>
  <c r="G581" i="1"/>
  <c r="H581" i="1" s="1"/>
  <c r="G580" i="1"/>
  <c r="H580" i="1" s="1"/>
  <c r="G579" i="1"/>
  <c r="G578" i="1"/>
  <c r="G576" i="1"/>
  <c r="H576" i="1" s="1"/>
  <c r="G575" i="1"/>
  <c r="G573" i="1"/>
  <c r="H573" i="1" s="1"/>
  <c r="G572" i="1"/>
  <c r="H572" i="1" s="1"/>
  <c r="G571" i="1"/>
  <c r="G569" i="1"/>
  <c r="H569" i="1" s="1"/>
  <c r="H568" i="1"/>
  <c r="G567" i="1"/>
  <c r="H567" i="1" s="1"/>
  <c r="G566" i="1"/>
  <c r="H566" i="1" s="1"/>
  <c r="G565" i="1"/>
  <c r="H563" i="1"/>
  <c r="H564" i="1" s="1"/>
  <c r="F560" i="1"/>
  <c r="G558" i="1"/>
  <c r="H558" i="1" s="1"/>
  <c r="G557" i="1"/>
  <c r="F557" i="1"/>
  <c r="G556" i="1"/>
  <c r="F556" i="1"/>
  <c r="G555" i="1"/>
  <c r="H555" i="1" s="1"/>
  <c r="G554" i="1"/>
  <c r="F554" i="1"/>
  <c r="G553" i="1"/>
  <c r="F553" i="1"/>
  <c r="G552" i="1"/>
  <c r="H552" i="1" s="1"/>
  <c r="G551" i="1"/>
  <c r="F551" i="1"/>
  <c r="G550" i="1"/>
  <c r="H550" i="1" s="1"/>
  <c r="G549" i="1"/>
  <c r="H549" i="1" s="1"/>
  <c r="G548" i="1"/>
  <c r="H548" i="1" s="1"/>
  <c r="G547" i="1"/>
  <c r="G546" i="1"/>
  <c r="F546" i="1"/>
  <c r="G544" i="1"/>
  <c r="G541" i="1"/>
  <c r="H535" i="1"/>
  <c r="H534" i="1"/>
  <c r="G533" i="1"/>
  <c r="H532" i="1"/>
  <c r="H531" i="1"/>
  <c r="H530" i="1"/>
  <c r="H529" i="1"/>
  <c r="H526" i="1"/>
  <c r="H525" i="1"/>
  <c r="G523" i="1"/>
  <c r="G524" i="1" s="1"/>
  <c r="F523" i="1"/>
  <c r="F524" i="1" s="1"/>
  <c r="G521" i="1"/>
  <c r="F521" i="1"/>
  <c r="F522" i="1" s="1"/>
  <c r="G520" i="1"/>
  <c r="G522" i="1" s="1"/>
  <c r="G516" i="1"/>
  <c r="H516" i="1" s="1"/>
  <c r="G515" i="1"/>
  <c r="F515" i="1"/>
  <c r="G514" i="1"/>
  <c r="H514" i="1" s="1"/>
  <c r="G513" i="1"/>
  <c r="H513" i="1" s="1"/>
  <c r="G512" i="1"/>
  <c r="H512" i="1" s="1"/>
  <c r="H511" i="1"/>
  <c r="H510" i="1"/>
  <c r="H509" i="1"/>
  <c r="G508" i="1"/>
  <c r="H508" i="1" s="1"/>
  <c r="G507" i="1"/>
  <c r="H507" i="1" s="1"/>
  <c r="G506" i="1"/>
  <c r="H506" i="1" s="1"/>
  <c r="G505" i="1"/>
  <c r="F504" i="1"/>
  <c r="G502" i="1"/>
  <c r="H502" i="1" s="1"/>
  <c r="G501" i="1"/>
  <c r="F501" i="1"/>
  <c r="G500" i="1"/>
  <c r="F500" i="1"/>
  <c r="G499" i="1"/>
  <c r="F499" i="1"/>
  <c r="G498" i="1"/>
  <c r="F498" i="1"/>
  <c r="G496" i="1"/>
  <c r="G497" i="1" s="1"/>
  <c r="F496" i="1"/>
  <c r="F497" i="1" s="1"/>
  <c r="G494" i="1"/>
  <c r="G495" i="1" s="1"/>
  <c r="G492" i="1"/>
  <c r="H490" i="1"/>
  <c r="H489" i="1"/>
  <c r="G487" i="1"/>
  <c r="H486" i="1"/>
  <c r="H484" i="1"/>
  <c r="H483" i="1"/>
  <c r="H482" i="1"/>
  <c r="G481" i="1"/>
  <c r="G485" i="1" s="1"/>
  <c r="G479" i="1"/>
  <c r="F479" i="1"/>
  <c r="G478" i="1"/>
  <c r="F478" i="1"/>
  <c r="F480" i="1" s="1"/>
  <c r="G475" i="1"/>
  <c r="G477" i="1" s="1"/>
  <c r="G473" i="1"/>
  <c r="H473" i="1" s="1"/>
  <c r="G472" i="1"/>
  <c r="H472" i="1" s="1"/>
  <c r="G471" i="1"/>
  <c r="H471" i="1" s="1"/>
  <c r="G470" i="1"/>
  <c r="H470" i="1" s="1"/>
  <c r="G469" i="1"/>
  <c r="G466" i="1"/>
  <c r="H466" i="1" s="1"/>
  <c r="G465" i="1"/>
  <c r="F465" i="1"/>
  <c r="G464" i="1"/>
  <c r="F464" i="1"/>
  <c r="G463" i="1"/>
  <c r="F463" i="1"/>
  <c r="G462" i="1"/>
  <c r="F462" i="1"/>
  <c r="F468" i="1" s="1"/>
  <c r="H460" i="1"/>
  <c r="G459" i="1"/>
  <c r="G456" i="1"/>
  <c r="H456" i="1" s="1"/>
  <c r="G455" i="1"/>
  <c r="H455" i="1" s="1"/>
  <c r="G454" i="1"/>
  <c r="H453" i="1"/>
  <c r="G451" i="1"/>
  <c r="H449" i="1"/>
  <c r="H448" i="1"/>
  <c r="H446" i="1"/>
  <c r="H445" i="1"/>
  <c r="H444" i="1"/>
  <c r="G441" i="1"/>
  <c r="G443" i="1" s="1"/>
  <c r="G439" i="1"/>
  <c r="F439" i="1"/>
  <c r="F440" i="1" s="1"/>
  <c r="G438" i="1"/>
  <c r="H438" i="1" s="1"/>
  <c r="G437" i="1"/>
  <c r="G435" i="1"/>
  <c r="H435" i="1" s="1"/>
  <c r="G434" i="1"/>
  <c r="F434" i="1"/>
  <c r="F436" i="1" s="1"/>
  <c r="E434" i="1"/>
  <c r="E436" i="1" s="1"/>
  <c r="G428" i="1"/>
  <c r="F428" i="1"/>
  <c r="H427" i="1"/>
  <c r="F426" i="1"/>
  <c r="G425" i="1"/>
  <c r="F424" i="1"/>
  <c r="H424" i="1" s="1"/>
  <c r="F423" i="1"/>
  <c r="H423" i="1" s="1"/>
  <c r="F422" i="1"/>
  <c r="H418" i="1"/>
  <c r="H417" i="1"/>
  <c r="G416" i="1"/>
  <c r="H415" i="1"/>
  <c r="F414" i="1"/>
  <c r="H414" i="1" s="1"/>
  <c r="H413" i="1"/>
  <c r="H412" i="1"/>
  <c r="H411" i="1"/>
  <c r="H410" i="1"/>
  <c r="F409" i="1"/>
  <c r="H408" i="1"/>
  <c r="G406" i="1"/>
  <c r="H406" i="1" s="1"/>
  <c r="H405" i="1"/>
  <c r="H404" i="1"/>
  <c r="G403" i="1"/>
  <c r="H403" i="1" s="1"/>
  <c r="G402" i="1"/>
  <c r="H399" i="1"/>
  <c r="H401" i="1" s="1"/>
  <c r="H396" i="1"/>
  <c r="G395" i="1"/>
  <c r="F395" i="1"/>
  <c r="F398" i="1" s="1"/>
  <c r="H394" i="1"/>
  <c r="G393" i="1"/>
  <c r="H393" i="1" s="1"/>
  <c r="G392" i="1"/>
  <c r="H392" i="1" s="1"/>
  <c r="G391" i="1"/>
  <c r="G389" i="1"/>
  <c r="H389" i="1" s="1"/>
  <c r="G388" i="1"/>
  <c r="F388" i="1"/>
  <c r="G387" i="1"/>
  <c r="F387" i="1"/>
  <c r="F390" i="1" s="1"/>
  <c r="G383" i="1"/>
  <c r="F383" i="1"/>
  <c r="E383" i="1"/>
  <c r="E386" i="1" s="1"/>
  <c r="G382" i="1"/>
  <c r="F382" i="1"/>
  <c r="G381" i="1"/>
  <c r="H381" i="1" s="1"/>
  <c r="G380" i="1"/>
  <c r="F380" i="1"/>
  <c r="F386" i="1" s="1"/>
  <c r="G379" i="1"/>
  <c r="G377" i="1"/>
  <c r="H377" i="1" s="1"/>
  <c r="H376" i="1"/>
  <c r="G375" i="1"/>
  <c r="H374" i="1"/>
  <c r="H373" i="1"/>
  <c r="H372" i="1"/>
  <c r="H370" i="1"/>
  <c r="H369" i="1"/>
  <c r="G365" i="1"/>
  <c r="G366" i="1" s="1"/>
  <c r="H364" i="1"/>
  <c r="H363" i="1"/>
  <c r="H362" i="1"/>
  <c r="H361" i="1"/>
  <c r="H360" i="1"/>
  <c r="G357" i="1"/>
  <c r="F357" i="1"/>
  <c r="F359" i="1" s="1"/>
  <c r="G356" i="1"/>
  <c r="H356" i="1" s="1"/>
  <c r="G355" i="1"/>
  <c r="H355" i="1" s="1"/>
  <c r="G354" i="1"/>
  <c r="H354" i="1" s="1"/>
  <c r="G353" i="1"/>
  <c r="G348" i="1"/>
  <c r="H348" i="1" s="1"/>
  <c r="G347" i="1"/>
  <c r="H347" i="1" s="1"/>
  <c r="G346" i="1"/>
  <c r="H346" i="1" s="1"/>
  <c r="G345" i="1"/>
  <c r="H341" i="1"/>
  <c r="H340" i="1"/>
  <c r="F339" i="1"/>
  <c r="H339" i="1" s="1"/>
  <c r="F338" i="1"/>
  <c r="H338" i="1" s="1"/>
  <c r="F337" i="1"/>
  <c r="H337" i="1" s="1"/>
  <c r="H336" i="1"/>
  <c r="H335" i="1"/>
  <c r="H334" i="1"/>
  <c r="H333" i="1"/>
  <c r="H332" i="1"/>
  <c r="H331" i="1"/>
  <c r="H330" i="1"/>
  <c r="F329" i="1"/>
  <c r="H328" i="1"/>
  <c r="H327" i="1"/>
  <c r="F325" i="1"/>
  <c r="H325" i="1" s="1"/>
  <c r="H324" i="1"/>
  <c r="H323" i="1"/>
  <c r="F322" i="1"/>
  <c r="H322" i="1" s="1"/>
  <c r="H321" i="1"/>
  <c r="H320" i="1"/>
  <c r="H319" i="1"/>
  <c r="H318" i="1"/>
  <c r="F317" i="1"/>
  <c r="G314" i="1"/>
  <c r="H314" i="1" s="1"/>
  <c r="G313" i="1"/>
  <c r="H313" i="1" s="1"/>
  <c r="G312" i="1"/>
  <c r="F312" i="1"/>
  <c r="F316" i="1" s="1"/>
  <c r="H309" i="1"/>
  <c r="H308" i="1"/>
  <c r="H307" i="1"/>
  <c r="G306" i="1"/>
  <c r="G311" i="1" s="1"/>
  <c r="F303" i="1"/>
  <c r="H303" i="1" s="1"/>
  <c r="G302" i="1"/>
  <c r="H302" i="1" s="1"/>
  <c r="G301" i="1"/>
  <c r="F301" i="1"/>
  <c r="G300" i="1"/>
  <c r="F300" i="1"/>
  <c r="G299" i="1"/>
  <c r="H299" i="1" s="1"/>
  <c r="G298" i="1"/>
  <c r="F295" i="1"/>
  <c r="F297" i="1" s="1"/>
  <c r="H294" i="1"/>
  <c r="H293" i="1"/>
  <c r="H292" i="1"/>
  <c r="H291" i="1"/>
  <c r="H290" i="1"/>
  <c r="G286" i="1"/>
  <c r="H286" i="1" s="1"/>
  <c r="H285" i="1"/>
  <c r="H284" i="1"/>
  <c r="G283" i="1"/>
  <c r="H283" i="1" s="1"/>
  <c r="G282" i="1"/>
  <c r="H282" i="1" s="1"/>
  <c r="H281" i="1"/>
  <c r="G280" i="1"/>
  <c r="H280" i="1" s="1"/>
  <c r="G279" i="1"/>
  <c r="H279" i="1" s="1"/>
  <c r="H278" i="1"/>
  <c r="F277" i="1"/>
  <c r="H277" i="1" s="1"/>
  <c r="G276" i="1"/>
  <c r="H276" i="1" s="1"/>
  <c r="H275" i="1"/>
  <c r="G274" i="1"/>
  <c r="H274" i="1" s="1"/>
  <c r="F273" i="1"/>
  <c r="G272" i="1"/>
  <c r="G270" i="1"/>
  <c r="G264" i="1"/>
  <c r="F264" i="1"/>
  <c r="H263" i="1"/>
  <c r="H262" i="1"/>
  <c r="H261" i="1"/>
  <c r="G260" i="1"/>
  <c r="F260" i="1"/>
  <c r="G259" i="1"/>
  <c r="H259" i="1" s="1"/>
  <c r="H258" i="1"/>
  <c r="H257" i="1"/>
  <c r="G256" i="1"/>
  <c r="F256" i="1"/>
  <c r="H255" i="1"/>
  <c r="H254" i="1"/>
  <c r="G253" i="1"/>
  <c r="H252" i="1"/>
  <c r="G249" i="1"/>
  <c r="F249" i="1"/>
  <c r="E249" i="1"/>
  <c r="E251" i="1" s="1"/>
  <c r="G248" i="1"/>
  <c r="F248" i="1"/>
  <c r="G247" i="1"/>
  <c r="F247" i="1"/>
  <c r="G246" i="1"/>
  <c r="G245" i="1"/>
  <c r="F245" i="1"/>
  <c r="G244" i="1"/>
  <c r="G242" i="1"/>
  <c r="H242" i="1" s="1"/>
  <c r="G241" i="1"/>
  <c r="H241" i="1" s="1"/>
  <c r="G240" i="1"/>
  <c r="F240" i="1"/>
  <c r="E240" i="1"/>
  <c r="G239" i="1"/>
  <c r="H239" i="1" s="1"/>
  <c r="G238" i="1"/>
  <c r="F238" i="1"/>
  <c r="E238" i="1"/>
  <c r="F235" i="1"/>
  <c r="H234" i="1"/>
  <c r="H233" i="1"/>
  <c r="H232" i="1"/>
  <c r="G230" i="1"/>
  <c r="H230" i="1" s="1"/>
  <c r="G229" i="1"/>
  <c r="G224" i="1"/>
  <c r="H224" i="1" s="1"/>
  <c r="G223" i="1"/>
  <c r="H223" i="1" s="1"/>
  <c r="G222" i="1"/>
  <c r="H222" i="1" s="1"/>
  <c r="G221" i="1"/>
  <c r="F221" i="1"/>
  <c r="G220" i="1"/>
  <c r="F219" i="1"/>
  <c r="G217" i="1"/>
  <c r="G218" i="1" s="1"/>
  <c r="G214" i="1"/>
  <c r="H214" i="1" s="1"/>
  <c r="G213" i="1"/>
  <c r="G209" i="1"/>
  <c r="H209" i="1" s="1"/>
  <c r="G208" i="1"/>
  <c r="H208" i="1" s="1"/>
  <c r="G207" i="1"/>
  <c r="H207" i="1" s="1"/>
  <c r="G206" i="1"/>
  <c r="H206" i="1" s="1"/>
  <c r="G205" i="1"/>
  <c r="G210" i="1" s="1"/>
  <c r="F202" i="1"/>
  <c r="G201" i="1"/>
  <c r="H201" i="1" s="1"/>
  <c r="G200" i="1"/>
  <c r="H200" i="1" s="1"/>
  <c r="G199" i="1"/>
  <c r="F197" i="1"/>
  <c r="F198" i="1" s="1"/>
  <c r="G191" i="1"/>
  <c r="H191" i="1" s="1"/>
  <c r="G190" i="1"/>
  <c r="F190" i="1"/>
  <c r="G189" i="1"/>
  <c r="F189" i="1"/>
  <c r="F196" i="1" s="1"/>
  <c r="G188" i="1"/>
  <c r="H188" i="1" s="1"/>
  <c r="G187" i="1"/>
  <c r="F184" i="1"/>
  <c r="H184" i="1" s="1"/>
  <c r="G183" i="1"/>
  <c r="G186" i="1" s="1"/>
  <c r="F183" i="1"/>
  <c r="F186" i="1" s="1"/>
  <c r="H181" i="1"/>
  <c r="H180" i="1"/>
  <c r="G175" i="1"/>
  <c r="G179" i="1" s="1"/>
  <c r="H173" i="1"/>
  <c r="H174" i="1" s="1"/>
  <c r="F171" i="1"/>
  <c r="F172" i="1" s="1"/>
  <c r="G170" i="1"/>
  <c r="G172" i="1" s="1"/>
  <c r="H168" i="1"/>
  <c r="H169" i="1" s="1"/>
  <c r="H166" i="1"/>
  <c r="H165" i="1"/>
  <c r="H164" i="1"/>
  <c r="H162" i="1"/>
  <c r="H161" i="1"/>
  <c r="G160" i="1"/>
  <c r="F160" i="1"/>
  <c r="F163" i="1" s="1"/>
  <c r="G159" i="1"/>
  <c r="H153" i="1"/>
  <c r="G152" i="1"/>
  <c r="F152" i="1"/>
  <c r="F158" i="1" s="1"/>
  <c r="H151" i="1"/>
  <c r="H150" i="1"/>
  <c r="G149" i="1"/>
  <c r="G158" i="1" s="1"/>
  <c r="G147" i="1"/>
  <c r="G145" i="1"/>
  <c r="H145" i="1" s="1"/>
  <c r="G144" i="1"/>
  <c r="H144" i="1" s="1"/>
  <c r="G143" i="1"/>
  <c r="H143" i="1" s="1"/>
  <c r="G142" i="1"/>
  <c r="F140" i="1"/>
  <c r="G137" i="1"/>
  <c r="F137" i="1"/>
  <c r="G136" i="1"/>
  <c r="H136" i="1" s="1"/>
  <c r="G135" i="1"/>
  <c r="H135" i="1" s="1"/>
  <c r="G134" i="1"/>
  <c r="F134" i="1"/>
  <c r="F139" i="1" s="1"/>
  <c r="G132" i="1"/>
  <c r="H132" i="1" s="1"/>
  <c r="G131" i="1"/>
  <c r="H131" i="1" s="1"/>
  <c r="G130" i="1"/>
  <c r="F130" i="1"/>
  <c r="E130" i="1"/>
  <c r="G129" i="1"/>
  <c r="H129" i="1" s="1"/>
  <c r="G128" i="1"/>
  <c r="F128" i="1"/>
  <c r="E128" i="1"/>
  <c r="G125" i="1"/>
  <c r="G127" i="1" s="1"/>
  <c r="F125" i="1"/>
  <c r="F127" i="1" s="1"/>
  <c r="H119" i="1"/>
  <c r="H118" i="1"/>
  <c r="H117" i="1"/>
  <c r="H115" i="1"/>
  <c r="H116" i="1" s="1"/>
  <c r="G108" i="1"/>
  <c r="F108" i="1"/>
  <c r="F113" i="1" s="1"/>
  <c r="G107" i="1"/>
  <c r="G105" i="1"/>
  <c r="G106" i="1" s="1"/>
  <c r="F105" i="1"/>
  <c r="F106" i="1" s="1"/>
  <c r="G101" i="1"/>
  <c r="H101" i="1" s="1"/>
  <c r="H100" i="1"/>
  <c r="G99" i="1"/>
  <c r="H98" i="1"/>
  <c r="H97" i="1"/>
  <c r="H96" i="1"/>
  <c r="H95" i="1"/>
  <c r="G93" i="1"/>
  <c r="G94" i="1" s="1"/>
  <c r="F93" i="1"/>
  <c r="F94" i="1" s="1"/>
  <c r="G91" i="1"/>
  <c r="G92" i="1" s="1"/>
  <c r="H89" i="1"/>
  <c r="H87" i="1"/>
  <c r="H86" i="1"/>
  <c r="G85" i="1"/>
  <c r="F84" i="1"/>
  <c r="H84" i="1" s="1"/>
  <c r="H83" i="1"/>
  <c r="F82" i="1"/>
  <c r="H81" i="1"/>
  <c r="H80" i="1"/>
  <c r="H79" i="1"/>
  <c r="H78" i="1"/>
  <c r="H74" i="1"/>
  <c r="G73" i="1"/>
  <c r="H73" i="1" s="1"/>
  <c r="H72" i="1"/>
  <c r="G71" i="1"/>
  <c r="H71" i="1" s="1"/>
  <c r="H70" i="1"/>
  <c r="G69" i="1"/>
  <c r="H69" i="1" s="1"/>
  <c r="G68" i="1"/>
  <c r="H67" i="1"/>
  <c r="G64" i="1"/>
  <c r="H64" i="1" s="1"/>
  <c r="H63" i="1"/>
  <c r="G62" i="1"/>
  <c r="F62" i="1"/>
  <c r="F66" i="1" s="1"/>
  <c r="G61" i="1"/>
  <c r="H61" i="1" s="1"/>
  <c r="G60" i="1"/>
  <c r="H60" i="1" s="1"/>
  <c r="G59" i="1"/>
  <c r="H59" i="1" s="1"/>
  <c r="G58" i="1"/>
  <c r="G56" i="1"/>
  <c r="H56" i="1" s="1"/>
  <c r="G55" i="1"/>
  <c r="G53" i="1"/>
  <c r="H53" i="1" s="1"/>
  <c r="G52" i="1"/>
  <c r="H52" i="1" s="1"/>
  <c r="G51" i="1"/>
  <c r="H51" i="1" s="1"/>
  <c r="G50" i="1"/>
  <c r="F50" i="1"/>
  <c r="F54" i="1" s="1"/>
  <c r="G49" i="1"/>
  <c r="G45" i="1"/>
  <c r="F45" i="1"/>
  <c r="E45" i="1"/>
  <c r="E48" i="1" s="1"/>
  <c r="G44" i="1"/>
  <c r="F44" i="1"/>
  <c r="G43" i="1"/>
  <c r="F43" i="1"/>
  <c r="F48" i="1" s="1"/>
  <c r="G42" i="1"/>
  <c r="H42" i="1" s="1"/>
  <c r="G41" i="1"/>
  <c r="H41" i="1" s="1"/>
  <c r="G40" i="1"/>
  <c r="G38" i="1"/>
  <c r="H38" i="1" s="1"/>
  <c r="G37" i="1"/>
  <c r="H37" i="1" s="1"/>
  <c r="G36" i="1"/>
  <c r="H36" i="1" s="1"/>
  <c r="G35" i="1"/>
  <c r="H35" i="1" s="1"/>
  <c r="G34" i="1"/>
  <c r="H34" i="1" s="1"/>
  <c r="G33" i="1"/>
  <c r="H33" i="1" s="1"/>
  <c r="G32" i="1"/>
  <c r="H32" i="1" s="1"/>
  <c r="G31" i="1"/>
  <c r="G28" i="1"/>
  <c r="H28" i="1" s="1"/>
  <c r="G27" i="1"/>
  <c r="F27" i="1"/>
  <c r="F30" i="1" s="1"/>
  <c r="G26" i="1"/>
  <c r="H24" i="1"/>
  <c r="H25" i="1" s="1"/>
  <c r="H21" i="1"/>
  <c r="H23" i="1" s="1"/>
  <c r="G19" i="1"/>
  <c r="G20" i="1" s="1"/>
  <c r="F19" i="1"/>
  <c r="F20" i="1" s="1"/>
  <c r="E19" i="1"/>
  <c r="E20" i="1" s="1"/>
  <c r="G15" i="1"/>
  <c r="F15" i="1"/>
  <c r="G14" i="1"/>
  <c r="F14" i="1"/>
  <c r="F18" i="1" s="1"/>
  <c r="F10" i="1"/>
  <c r="F13" i="1" s="1"/>
  <c r="G9" i="1"/>
  <c r="H9" i="1" s="1"/>
  <c r="H8" i="1"/>
  <c r="G7" i="1"/>
  <c r="H7" i="1" s="1"/>
  <c r="H6" i="1"/>
  <c r="H5" i="1"/>
  <c r="G4" i="1"/>
  <c r="G18" i="1" l="1"/>
  <c r="G57" i="1"/>
  <c r="G104" i="1"/>
  <c r="G139" i="1"/>
  <c r="G146" i="1"/>
  <c r="H491" i="1"/>
  <c r="E243" i="1"/>
  <c r="F269" i="1"/>
  <c r="F305" i="1"/>
  <c r="G407" i="1"/>
  <c r="F419" i="1"/>
  <c r="H187" i="1"/>
  <c r="G196" i="1"/>
  <c r="H244" i="1"/>
  <c r="G251" i="1"/>
  <c r="H253" i="1"/>
  <c r="G269" i="1"/>
  <c r="H31" i="1"/>
  <c r="H39" i="1" s="1"/>
  <c r="G39" i="1"/>
  <c r="H58" i="1"/>
  <c r="G66" i="1"/>
  <c r="E133" i="1"/>
  <c r="G225" i="1"/>
  <c r="H270" i="1"/>
  <c r="H271" i="1" s="1"/>
  <c r="G271" i="1"/>
  <c r="H353" i="1"/>
  <c r="G359" i="1"/>
  <c r="F133" i="1"/>
  <c r="G287" i="1"/>
  <c r="H416" i="1"/>
  <c r="G419" i="1"/>
  <c r="G433" i="1"/>
  <c r="G480" i="1"/>
  <c r="F519" i="1"/>
  <c r="H4" i="1"/>
  <c r="G13" i="1"/>
  <c r="H82" i="1"/>
  <c r="F90" i="1"/>
  <c r="G133" i="1"/>
  <c r="H147" i="1"/>
  <c r="H148" i="1" s="1"/>
  <c r="G148" i="1"/>
  <c r="H167" i="1"/>
  <c r="H202" i="1"/>
  <c r="F204" i="1"/>
  <c r="H213" i="1"/>
  <c r="G216" i="1"/>
  <c r="G243" i="1"/>
  <c r="H273" i="1"/>
  <c r="F287" i="1"/>
  <c r="F326" i="1"/>
  <c r="H345" i="1"/>
  <c r="H349" i="1" s="1"/>
  <c r="G349" i="1"/>
  <c r="H379" i="1"/>
  <c r="G386" i="1"/>
  <c r="G436" i="1"/>
  <c r="H451" i="1"/>
  <c r="H452" i="1" s="1"/>
  <c r="G452" i="1"/>
  <c r="H505" i="1"/>
  <c r="G519" i="1"/>
  <c r="H528" i="1"/>
  <c r="H533" i="1"/>
  <c r="H536" i="1" s="1"/>
  <c r="G536" i="1"/>
  <c r="G559" i="1"/>
  <c r="H560" i="1"/>
  <c r="H562" i="1" s="1"/>
  <c r="F562" i="1"/>
  <c r="H578" i="1"/>
  <c r="G598" i="1"/>
  <c r="F616" i="1"/>
  <c r="G642" i="1"/>
  <c r="H654" i="1"/>
  <c r="G658" i="1"/>
  <c r="H107" i="1"/>
  <c r="G113" i="1"/>
  <c r="H140" i="1"/>
  <c r="H141" i="1" s="1"/>
  <c r="F141" i="1"/>
  <c r="H487" i="1"/>
  <c r="H488" i="1" s="1"/>
  <c r="G488" i="1"/>
  <c r="H571" i="1"/>
  <c r="H574" i="1" s="1"/>
  <c r="G574" i="1"/>
  <c r="G54" i="1"/>
  <c r="F251" i="1"/>
  <c r="G305" i="1"/>
  <c r="G398" i="1"/>
  <c r="H422" i="1"/>
  <c r="F433" i="1"/>
  <c r="H437" i="1"/>
  <c r="G440" i="1"/>
  <c r="G458" i="1"/>
  <c r="G468" i="1"/>
  <c r="F503" i="1"/>
  <c r="G570" i="1"/>
  <c r="H68" i="1"/>
  <c r="H77" i="1" s="1"/>
  <c r="G77" i="1"/>
  <c r="H159" i="1"/>
  <c r="G163" i="1"/>
  <c r="H85" i="1"/>
  <c r="G90" i="1"/>
  <c r="H199" i="1"/>
  <c r="G204" i="1"/>
  <c r="H219" i="1"/>
  <c r="F225" i="1"/>
  <c r="H235" i="1"/>
  <c r="H237" i="1" s="1"/>
  <c r="F237" i="1"/>
  <c r="G316" i="1"/>
  <c r="H375" i="1"/>
  <c r="G378" i="1"/>
  <c r="G503" i="1"/>
  <c r="H541" i="1"/>
  <c r="H543" i="1" s="1"/>
  <c r="G543" i="1"/>
  <c r="H600" i="1"/>
  <c r="G616" i="1"/>
  <c r="H621" i="1"/>
  <c r="H626" i="1" s="1"/>
  <c r="G626" i="1"/>
  <c r="E668" i="1"/>
  <c r="H469" i="1"/>
  <c r="G474" i="1"/>
  <c r="H492" i="1"/>
  <c r="H493" i="1" s="1"/>
  <c r="G493" i="1"/>
  <c r="H544" i="1"/>
  <c r="H545" i="1" s="1"/>
  <c r="G545" i="1"/>
  <c r="H575" i="1"/>
  <c r="H577" i="1" s="1"/>
  <c r="G577" i="1"/>
  <c r="F598" i="1"/>
  <c r="G30" i="1"/>
  <c r="H40" i="1"/>
  <c r="G48" i="1"/>
  <c r="H229" i="1"/>
  <c r="H231" i="1" s="1"/>
  <c r="G231" i="1"/>
  <c r="G390" i="1"/>
  <c r="F243" i="1"/>
  <c r="H329" i="1"/>
  <c r="H344" i="1" s="1"/>
  <c r="F344" i="1"/>
  <c r="H459" i="1"/>
  <c r="H461" i="1" s="1"/>
  <c r="G461" i="1"/>
  <c r="F559" i="1"/>
  <c r="H633" i="1"/>
  <c r="H635" i="1" s="1"/>
  <c r="G635" i="1"/>
  <c r="F658" i="1"/>
  <c r="G661" i="1"/>
  <c r="H378" i="1"/>
  <c r="H216" i="1"/>
  <c r="H447" i="1"/>
  <c r="H665" i="1"/>
  <c r="H474" i="1"/>
  <c r="H124" i="1"/>
  <c r="H182" i="1"/>
  <c r="H371" i="1"/>
  <c r="H450" i="1"/>
  <c r="H204" i="1"/>
  <c r="H247" i="1"/>
  <c r="H501" i="1"/>
  <c r="H14" i="1"/>
  <c r="H479" i="1"/>
  <c r="H248" i="1"/>
  <c r="H357" i="1"/>
  <c r="H464" i="1"/>
  <c r="H556" i="1"/>
  <c r="H582" i="1"/>
  <c r="H504" i="1"/>
  <c r="H462" i="1"/>
  <c r="H10" i="1"/>
  <c r="H217" i="1"/>
  <c r="H221" i="1"/>
  <c r="H496" i="1"/>
  <c r="H499" i="1"/>
  <c r="H301" i="1"/>
  <c r="H500" i="1"/>
  <c r="H380" i="1"/>
  <c r="H256" i="1"/>
  <c r="H523" i="1"/>
  <c r="H546" i="1"/>
  <c r="H551" i="1"/>
  <c r="H603" i="1"/>
  <c r="H660" i="1"/>
  <c r="H15" i="1"/>
  <c r="H264" i="1"/>
  <c r="H130" i="1"/>
  <c r="H27" i="1"/>
  <c r="H388" i="1"/>
  <c r="H395" i="1"/>
  <c r="H553" i="1"/>
  <c r="H596" i="1"/>
  <c r="H137" i="1"/>
  <c r="H149" i="1"/>
  <c r="H317" i="1"/>
  <c r="H326" i="1" s="1"/>
  <c r="H428" i="1"/>
  <c r="H441" i="1"/>
  <c r="H586" i="1"/>
  <c r="H627" i="1"/>
  <c r="H125" i="1"/>
  <c r="H190" i="1"/>
  <c r="H554" i="1"/>
  <c r="H595" i="1"/>
  <c r="H425" i="1"/>
  <c r="H50" i="1"/>
  <c r="H108" i="1"/>
  <c r="H113" i="1" s="1"/>
  <c r="H245" i="1"/>
  <c r="H515" i="1"/>
  <c r="H557" i="1"/>
  <c r="H585" i="1"/>
  <c r="H593" i="1"/>
  <c r="H639" i="1"/>
  <c r="H44" i="1"/>
  <c r="H160" i="1"/>
  <c r="H163" i="1" s="1"/>
  <c r="H205" i="1"/>
  <c r="H260" i="1"/>
  <c r="H300" i="1"/>
  <c r="H465" i="1"/>
  <c r="H481" i="1"/>
  <c r="H485" i="1" s="1"/>
  <c r="H611" i="1"/>
  <c r="H631" i="1"/>
  <c r="H632" i="1" s="1"/>
  <c r="H19" i="1"/>
  <c r="H183" i="1"/>
  <c r="H186" i="1" s="1"/>
  <c r="H197" i="1"/>
  <c r="H246" i="1"/>
  <c r="H249" i="1"/>
  <c r="H521" i="1"/>
  <c r="H659" i="1"/>
  <c r="H128" i="1"/>
  <c r="H133" i="1" s="1"/>
  <c r="H240" i="1"/>
  <c r="H409" i="1"/>
  <c r="H463" i="1"/>
  <c r="H99" i="1"/>
  <c r="H104" i="1" s="1"/>
  <c r="H565" i="1"/>
  <c r="H592" i="1"/>
  <c r="H45" i="1"/>
  <c r="H62" i="1"/>
  <c r="H43" i="1"/>
  <c r="H93" i="1"/>
  <c r="H134" i="1"/>
  <c r="H49" i="1"/>
  <c r="H91" i="1"/>
  <c r="H105" i="1"/>
  <c r="H142" i="1"/>
  <c r="H152" i="1"/>
  <c r="H26" i="1"/>
  <c r="H55" i="1"/>
  <c r="H170" i="1"/>
  <c r="H383" i="1"/>
  <c r="H426" i="1"/>
  <c r="H494" i="1"/>
  <c r="H171" i="1"/>
  <c r="H175" i="1"/>
  <c r="H220" i="1"/>
  <c r="H238" i="1"/>
  <c r="H387" i="1"/>
  <c r="H402" i="1"/>
  <c r="H189" i="1"/>
  <c r="H295" i="1"/>
  <c r="H297" i="1" s="1"/>
  <c r="H439" i="1"/>
  <c r="H312" i="1"/>
  <c r="H475" i="1"/>
  <c r="H272" i="1"/>
  <c r="H298" i="1"/>
  <c r="H306" i="1"/>
  <c r="H311" i="1" s="1"/>
  <c r="H365" i="1"/>
  <c r="H366" i="1" s="1"/>
  <c r="H382" i="1"/>
  <c r="H434" i="1"/>
  <c r="H478" i="1"/>
  <c r="H636" i="1"/>
  <c r="H653" i="1"/>
  <c r="H547" i="1"/>
  <c r="H579" i="1"/>
  <c r="H391" i="1"/>
  <c r="H398" i="1" s="1"/>
  <c r="H454" i="1"/>
  <c r="H458" i="1" s="1"/>
  <c r="H498" i="1"/>
  <c r="H520" i="1"/>
  <c r="H390" i="1" l="1"/>
  <c r="H90" i="1"/>
  <c r="F668" i="1"/>
  <c r="H196" i="1"/>
  <c r="H480" i="1"/>
  <c r="H66" i="1"/>
  <c r="H359" i="1"/>
  <c r="H13" i="1"/>
  <c r="H48" i="1"/>
  <c r="H419" i="1"/>
  <c r="H251" i="1"/>
  <c r="H658" i="1"/>
  <c r="H642" i="1"/>
  <c r="H433" i="1"/>
  <c r="G668" i="1"/>
  <c r="H287" i="1"/>
  <c r="H225" i="1"/>
  <c r="H661" i="1"/>
  <c r="H269" i="1"/>
  <c r="H139" i="1"/>
  <c r="H18" i="1"/>
  <c r="H598" i="1"/>
  <c r="H503" i="1"/>
  <c r="H616" i="1"/>
  <c r="H386" i="1"/>
  <c r="H20" i="1"/>
  <c r="H519" i="1"/>
  <c r="H305" i="1"/>
  <c r="H628" i="1"/>
  <c r="H316" i="1"/>
  <c r="H57" i="1"/>
  <c r="H92" i="1"/>
  <c r="H443" i="1"/>
  <c r="H559" i="1"/>
  <c r="H522" i="1"/>
  <c r="H407" i="1"/>
  <c r="H179" i="1"/>
  <c r="H30" i="1"/>
  <c r="H54" i="1"/>
  <c r="H570" i="1"/>
  <c r="H524" i="1"/>
  <c r="H468" i="1"/>
  <c r="H440" i="1"/>
  <c r="H127" i="1"/>
  <c r="H218" i="1"/>
  <c r="H495" i="1"/>
  <c r="H158" i="1"/>
  <c r="H436" i="1"/>
  <c r="H477" i="1"/>
  <c r="H243" i="1"/>
  <c r="H172" i="1"/>
  <c r="H106" i="1"/>
  <c r="H94" i="1"/>
  <c r="H198" i="1"/>
  <c r="H210" i="1"/>
  <c r="H497" i="1"/>
  <c r="H146" i="1"/>
  <c r="H668" i="1" l="1"/>
</calcChain>
</file>

<file path=xl/comments1.xml><?xml version="1.0" encoding="utf-8"?>
<comments xmlns="http://schemas.openxmlformats.org/spreadsheetml/2006/main">
  <authors>
    <author>Автор</author>
  </authors>
  <commentList>
    <comment ref="H269" authorId="0" shapeId="0">
      <text>
        <r>
          <rPr>
            <b/>
            <sz val="9"/>
            <color indexed="81"/>
            <rFont val="Tahoma"/>
            <family val="2"/>
            <charset val="204"/>
          </rPr>
          <t>Автор:</t>
        </r>
        <r>
          <rPr>
            <sz val="9"/>
            <color indexed="81"/>
            <rFont val="Tahoma"/>
            <family val="2"/>
            <charset val="204"/>
          </rPr>
          <t xml:space="preserve">
Мухиддинова Умида Тулкиновна сотиб олган авиабилет  Лаврова Елена Алексанлровнага берилди Лаврова Елена Алексанлровна Махсус мактабгача таълим муассасалари фаолиятини мувофиқлаштириш, реабилитация ва болаларнинг соғлигини таъминлаш бўлими Мухиддинова Умида Тулкиновна Махсус мактабгача таълим муассасалари фаолиятини мувофиқлаштириш, реабилитация ва болаларнинг соғлигини таъминлаш бўлими </t>
        </r>
      </text>
    </comment>
    <comment ref="H366" authorId="0" shapeId="0">
      <text>
        <r>
          <rPr>
            <b/>
            <sz val="9"/>
            <color indexed="81"/>
            <rFont val="Tahoma"/>
            <family val="2"/>
            <charset val="204"/>
          </rPr>
          <t>Автор:</t>
        </r>
        <r>
          <rPr>
            <sz val="9"/>
            <color indexed="81"/>
            <rFont val="Tahoma"/>
            <family val="2"/>
            <charset val="204"/>
          </rPr>
          <t xml:space="preserve">
Мухиддинова Умида Тулкиновна сотиб олган авиабилет  Лаврова Елена Алексанлровнага берилди Лаврова Елена Алексанлровна Махсус мактабгача таълим муассасалари фаолиятини мувофиқлаштириш, реабилитация ва болаларнинг соғлигини таъминлаш бўлими Мухиддинова Умида Тулкиновна Махсус мактабгача таълим муассасалари фаолиятини мувофиқлаштириш, реабилитация ва болаларнинг соғлигини таъминлаш бўлими </t>
        </r>
      </text>
    </comment>
  </commentList>
</comments>
</file>

<file path=xl/sharedStrings.xml><?xml version="1.0" encoding="utf-8"?>
<sst xmlns="http://schemas.openxmlformats.org/spreadsheetml/2006/main" count="1251" uniqueCount="295">
  <si>
    <t>№</t>
  </si>
  <si>
    <t>Сотрудник</t>
  </si>
  <si>
    <t>Отдел</t>
  </si>
  <si>
    <t>Область</t>
  </si>
  <si>
    <t>Суточный</t>
  </si>
  <si>
    <t>Гостиница</t>
  </si>
  <si>
    <t>Дорожный</t>
  </si>
  <si>
    <t>Итог</t>
  </si>
  <si>
    <t>1</t>
  </si>
  <si>
    <t>Абдужабборов Беҳзод Фарход угли</t>
  </si>
  <si>
    <t>Вазир девони</t>
  </si>
  <si>
    <t>Бухоро</t>
  </si>
  <si>
    <t>Фаргона</t>
  </si>
  <si>
    <t>Наманган</t>
  </si>
  <si>
    <t>ККР</t>
  </si>
  <si>
    <t>Самарканд</t>
  </si>
  <si>
    <t>Андижон</t>
  </si>
  <si>
    <t>2</t>
  </si>
  <si>
    <t>Абдуллаев Абдувохид Абдураимович</t>
  </si>
  <si>
    <t>ГЧП</t>
  </si>
  <si>
    <t>Тошкент вилояти</t>
  </si>
  <si>
    <t>Хоразм</t>
  </si>
  <si>
    <t>3</t>
  </si>
  <si>
    <t>Абдуллаев Шерзод Бахромбаевич</t>
  </si>
  <si>
    <t>Ички аудит ва молиявий назорат хизмати</t>
  </si>
  <si>
    <t>4</t>
  </si>
  <si>
    <t>Абдуллаева Ширин Зафаровна</t>
  </si>
  <si>
    <t>Жиззах</t>
  </si>
  <si>
    <t>5</t>
  </si>
  <si>
    <t>Абдурахманов Улугбек Миродил угли</t>
  </si>
  <si>
    <t>Кашкадарё</t>
  </si>
  <si>
    <t>6</t>
  </si>
  <si>
    <t>Абдусалямов Абдурахман Абдумажидович</t>
  </si>
  <si>
    <t>Карши</t>
  </si>
  <si>
    <t>Сурхондарё</t>
  </si>
  <si>
    <t>7</t>
  </si>
  <si>
    <t>Адилов Фарход Аббасович</t>
  </si>
  <si>
    <t>8</t>
  </si>
  <si>
    <t>Азимов Усмон Азимович</t>
  </si>
  <si>
    <t>Термез</t>
  </si>
  <si>
    <t>9</t>
  </si>
  <si>
    <t>Акбаров Музаффарбек Тухтасинбоевич</t>
  </si>
  <si>
    <t>Инвестициялар ва капитал қурилиш бошқармаси</t>
  </si>
  <si>
    <t>10</t>
  </si>
  <si>
    <t>Алиев Азиз Батирович</t>
  </si>
  <si>
    <t>Махсус мактабгача таълим муассасалари фаолиятини мувофиқлаштириш, реабилитация ва болаларнинг соғлигини таъминлаш бўлими</t>
  </si>
  <si>
    <t>11</t>
  </si>
  <si>
    <t>Аминов Фаррух Фарходович</t>
  </si>
  <si>
    <t>12</t>
  </si>
  <si>
    <t>Аскархужаева Мовлуда Саидмухаммадзокир кизи</t>
  </si>
  <si>
    <t>Матбуот котиби</t>
  </si>
  <si>
    <t>13</t>
  </si>
  <si>
    <t>Ахмедов Бехзод Мадаминжонович</t>
  </si>
  <si>
    <t>Таълими-тарбия жараёнларини сифатини таъминлаш бўлими</t>
  </si>
  <si>
    <t>Сирдарё</t>
  </si>
  <si>
    <t>14</t>
  </si>
  <si>
    <t>Ахмедов Бобомурод Шукуруллаевич</t>
  </si>
  <si>
    <t>15</t>
  </si>
  <si>
    <t>Ахмедов Хуршидбек Баходирович</t>
  </si>
  <si>
    <t>16</t>
  </si>
  <si>
    <t>Ахметова Нурсулу Серикбаевна</t>
  </si>
  <si>
    <t>Вазир ёрдамчиси</t>
  </si>
  <si>
    <t>17</t>
  </si>
  <si>
    <t>Баратов Акбар Уткир угли</t>
  </si>
  <si>
    <t>18</t>
  </si>
  <si>
    <t>Баротов Алишер Абдуллоевич</t>
  </si>
  <si>
    <t>19</t>
  </si>
  <si>
    <t>Баширов Ботирбек Абдувохобович</t>
  </si>
  <si>
    <t>Кадрлар бошқармаси</t>
  </si>
  <si>
    <t>20</t>
  </si>
  <si>
    <t>Бегимкулов Узокбой Шоимкулович</t>
  </si>
  <si>
    <t>Раҳбарият</t>
  </si>
  <si>
    <t>21</t>
  </si>
  <si>
    <t>Беккулов Зафар Ахадбоевич</t>
  </si>
  <si>
    <t>22</t>
  </si>
  <si>
    <t>Бекмуратов Камалатдин Кулмуратович</t>
  </si>
  <si>
    <t>23</t>
  </si>
  <si>
    <t>Бобохонов Раҳим Менгбаевич</t>
  </si>
  <si>
    <t>24</t>
  </si>
  <si>
    <t>Болтаев Исмоил Жохонгир ўғли</t>
  </si>
  <si>
    <t>Ишлар бошқармаси</t>
  </si>
  <si>
    <t>25</t>
  </si>
  <si>
    <t>Буриев Хуршид Косимович</t>
  </si>
  <si>
    <t>Юридик бошқарма</t>
  </si>
  <si>
    <t>26</t>
  </si>
  <si>
    <t>Бутунбаев Жамшид Абдурашидович</t>
  </si>
  <si>
    <t>27</t>
  </si>
  <si>
    <t xml:space="preserve">Валиева Шахноза Махмуджоновна	</t>
  </si>
  <si>
    <t>28</t>
  </si>
  <si>
    <t>Ғаффаров Феруз Ҳасанович</t>
  </si>
  <si>
    <t>Педагог кадрлар сифатини ошириш бошқармаси</t>
  </si>
  <si>
    <t>29</t>
  </si>
  <si>
    <t>Грошева Ирина Владимировна</t>
  </si>
  <si>
    <t>Мактабгача таълим сох.сиёс. шакл. ва юритиш бош бошқармаси</t>
  </si>
  <si>
    <t>30</t>
  </si>
  <si>
    <t>Гулямова Асия Нурутдиновна</t>
  </si>
  <si>
    <t>Мактабгача таълим муассасалари фаолиятини ташкил этиш ва стратегик ривожлантириш бош бошқармаси</t>
  </si>
  <si>
    <t>31</t>
  </si>
  <si>
    <t>Джураев Анвар Ибрахим угли</t>
  </si>
  <si>
    <t>Ахборот технологияларини жорий этиш бошқармаси</t>
  </si>
  <si>
    <t>32</t>
  </si>
  <si>
    <t>Душаева Нодира Рустамбековна</t>
  </si>
  <si>
    <t>33</t>
  </si>
  <si>
    <t>Жабборов Музаффар Раҳмонқулович</t>
  </si>
  <si>
    <t>34</t>
  </si>
  <si>
    <t>Захидов Дилшод Сабирович</t>
  </si>
  <si>
    <t>35</t>
  </si>
  <si>
    <t>Зикиров Қахрамон Шарипович</t>
  </si>
  <si>
    <t>Бухгалтерия ҳисоби ва ҳисоботи бошқармаси</t>
  </si>
  <si>
    <t>36</t>
  </si>
  <si>
    <t>Зияев Бахтиёр Саитович</t>
  </si>
  <si>
    <t>37</t>
  </si>
  <si>
    <t>Зулфиқоров Рустам Рахмидинович</t>
  </si>
  <si>
    <t>38</t>
  </si>
  <si>
    <t>Йўлдашев Жасур Чориевич</t>
  </si>
  <si>
    <t>Молиявий-иқтисодий ривожланишни режалаштириш бошқармаси</t>
  </si>
  <si>
    <t>39</t>
  </si>
  <si>
    <t>Кадиров Бахадир Батирович</t>
  </si>
  <si>
    <t>Комплаенс-назорат бўлими</t>
  </si>
  <si>
    <t>40</t>
  </si>
  <si>
    <t>Камбаров Бобир Акрамович</t>
  </si>
  <si>
    <t>41</t>
  </si>
  <si>
    <t>Камолов  Шухратжон Жамолдинович</t>
  </si>
  <si>
    <t>42</t>
  </si>
  <si>
    <t xml:space="preserve">Келдибеков Фарход Уралович </t>
  </si>
  <si>
    <t>МТМ фаолиятини ташкил этиш бошқармаси</t>
  </si>
  <si>
    <t>43</t>
  </si>
  <si>
    <t>Ким Виталий Николаевич</t>
  </si>
  <si>
    <t>Уқув методик мажмуалар яратишни мувофиқлаштириш ва методик хизматни ташкил етиш булими</t>
  </si>
  <si>
    <t>44</t>
  </si>
  <si>
    <t>Кон Евгений Алексейвич</t>
  </si>
  <si>
    <t>45</t>
  </si>
  <si>
    <t>Косуаков Татлимурат Кутлимуратович</t>
  </si>
  <si>
    <t>46</t>
  </si>
  <si>
    <t>Кунгиротов Хамдам Шавкатович</t>
  </si>
  <si>
    <t>47</t>
  </si>
  <si>
    <t>Лаврова Елена Алексанлровна</t>
  </si>
  <si>
    <t>48</t>
  </si>
  <si>
    <t>Мадрахимов Баходир Садуллаевич</t>
  </si>
  <si>
    <t>49</t>
  </si>
  <si>
    <t>Маматкулов Шодиёр Абдувохидович</t>
  </si>
  <si>
    <t>Навоий</t>
  </si>
  <si>
    <t>50</t>
  </si>
  <si>
    <t>Маматов Азиз Насимович</t>
  </si>
  <si>
    <t>51</t>
  </si>
  <si>
    <t>Махмудов Шерзодбек Захидович</t>
  </si>
  <si>
    <t>Нукус</t>
  </si>
  <si>
    <t>52</t>
  </si>
  <si>
    <t>Мирджалилова Сабахат Саатовна</t>
  </si>
  <si>
    <t>53</t>
  </si>
  <si>
    <t>Миржалалов Тулкун Қучкарович</t>
  </si>
  <si>
    <t>54</t>
  </si>
  <si>
    <t>Мирзаев Давронбек Мирсагдуллаевич</t>
  </si>
  <si>
    <t>Жиззиах</t>
  </si>
  <si>
    <t>55</t>
  </si>
  <si>
    <t>Мирхаджаев Ботир Қобулович</t>
  </si>
  <si>
    <t>Анжижон</t>
  </si>
  <si>
    <t>56</t>
  </si>
  <si>
    <t>Миясаров Махмуд Тухтасинович</t>
  </si>
  <si>
    <t>57</t>
  </si>
  <si>
    <t>Мусурмонов Отабек Рахматулла ўғли</t>
  </si>
  <si>
    <t>58</t>
  </si>
  <si>
    <t>Мухиддинова Умида Тулкиновна</t>
  </si>
  <si>
    <t>59</t>
  </si>
  <si>
    <t>Назаров Аброр Уринбаевич</t>
  </si>
  <si>
    <t>60</t>
  </si>
  <si>
    <t>Насирова Гулчехра Уткуровна</t>
  </si>
  <si>
    <t>61</t>
  </si>
  <si>
    <t>Номозов  Дилнур Бахтиёр ўғли</t>
  </si>
  <si>
    <t>62</t>
  </si>
  <si>
    <t>Норкобилов Отабек Сангинбаевич</t>
  </si>
  <si>
    <t>63</t>
  </si>
  <si>
    <t>Норматов Дилшод Хабибуллаевич</t>
  </si>
  <si>
    <t>64</t>
  </si>
  <si>
    <t>Носиров Жахонгир Хуснитдинович</t>
  </si>
  <si>
    <t>65</t>
  </si>
  <si>
    <t>Обидов Фаррух Бахромович</t>
  </si>
  <si>
    <t>66</t>
  </si>
  <si>
    <t>Олимов Қахрамон Танзилович</t>
  </si>
  <si>
    <t>67</t>
  </si>
  <si>
    <t>Онорбоев Баходиржон Очилбоевич</t>
  </si>
  <si>
    <t>68</t>
  </si>
  <si>
    <t>Палванов Нодир Баходирович</t>
  </si>
  <si>
    <t>69</t>
  </si>
  <si>
    <t>Расулов Қудрат Одилжонович</t>
  </si>
  <si>
    <t>70</t>
  </si>
  <si>
    <t>Рахимов Махмуджон Мунавварович</t>
  </si>
  <si>
    <t>71</t>
  </si>
  <si>
    <t>Рисқулова Камола Джумаевна</t>
  </si>
  <si>
    <t>72</t>
  </si>
  <si>
    <t>Рустамов Илхом Толлибоевич</t>
  </si>
  <si>
    <t>73</t>
  </si>
  <si>
    <t>Садиков Абдурашид Розикович</t>
  </si>
  <si>
    <t>74</t>
  </si>
  <si>
    <t xml:space="preserve">Сайфитдиинов Нодир </t>
  </si>
  <si>
    <t>75</t>
  </si>
  <si>
    <t>Самиев Шахзод Олимжон угли</t>
  </si>
  <si>
    <t>Тошкет вилояти</t>
  </si>
  <si>
    <t>76</t>
  </si>
  <si>
    <t>Саппаров Худаймурат Базарович</t>
  </si>
  <si>
    <t>77</t>
  </si>
  <si>
    <t>Солиев Одилжон Мухитдинович</t>
  </si>
  <si>
    <t>78</t>
  </si>
  <si>
    <t>Сулейманова Юлдуз Толибовна</t>
  </si>
  <si>
    <t>79</t>
  </si>
  <si>
    <t>Тажиматов Шукурилла Адхамжанович</t>
  </si>
  <si>
    <t>80</t>
  </si>
  <si>
    <t>Тен Елена Герасимовна</t>
  </si>
  <si>
    <t>81</t>
  </si>
  <si>
    <t>Тойчибаев Ширинбек Шакаримов</t>
  </si>
  <si>
    <t>Жисмоний ва юридик шахслар мурожаати билан ишлаш бўлими</t>
  </si>
  <si>
    <t>82</t>
  </si>
  <si>
    <t>Тоҳиров Ойбек Собиржон ўғли</t>
  </si>
  <si>
    <t>83</t>
  </si>
  <si>
    <t>Тошматов Низом Юсупжонович</t>
  </si>
  <si>
    <t>84</t>
  </si>
  <si>
    <t>Тураева Шахноз Камоловна</t>
  </si>
  <si>
    <t>Ахборот хизмати</t>
  </si>
  <si>
    <t>85</t>
  </si>
  <si>
    <t>Тургунов Қахрамон Махамаджанович</t>
  </si>
  <si>
    <t>86</t>
  </si>
  <si>
    <t>Турдалиев Сувонкул Пардаевич</t>
  </si>
  <si>
    <t>87</t>
  </si>
  <si>
    <t>Турдиев Ойбек Расулович</t>
  </si>
  <si>
    <t>88</t>
  </si>
  <si>
    <t>Турсунхўжаев Исматулло Яхёхон ўғли</t>
  </si>
  <si>
    <t>89</t>
  </si>
  <si>
    <t>Умаров Жамшидбек Жакпарали ўғли</t>
  </si>
  <si>
    <t>90</t>
  </si>
  <si>
    <t>Умарбаев Фуркат Тулкинович</t>
  </si>
  <si>
    <t>91</t>
  </si>
  <si>
    <t>Умирзакова Насиба Рахимовна</t>
  </si>
  <si>
    <t>92</t>
  </si>
  <si>
    <t>Хайетов Шерали Рузиевич</t>
  </si>
  <si>
    <t>93</t>
  </si>
  <si>
    <t>Хакимбоева Юлдуз Аскар кизи</t>
  </si>
  <si>
    <t>94</t>
  </si>
  <si>
    <t>Хакимов Абдуғулом Сойибжонович</t>
  </si>
  <si>
    <t>95</t>
  </si>
  <si>
    <t>Халилов Бобуржон</t>
  </si>
  <si>
    <t>96</t>
  </si>
  <si>
    <t>Хасанова Дилфуза Рахимовна</t>
  </si>
  <si>
    <t>97</t>
  </si>
  <si>
    <t>Хидирбаев Бахром Бахтиярович</t>
  </si>
  <si>
    <t>98</t>
  </si>
  <si>
    <t>Ходжаев Санжар Бахтиёрович</t>
  </si>
  <si>
    <t>99</t>
  </si>
  <si>
    <t>Холмирзаев Бахтиёр Жураевич</t>
  </si>
  <si>
    <t>Шарипов Маъруфжон Одилжонович</t>
  </si>
  <si>
    <t>101</t>
  </si>
  <si>
    <t>Шерматов Нодир Юсупович</t>
  </si>
  <si>
    <t>Ургенч</t>
  </si>
  <si>
    <t>102</t>
  </si>
  <si>
    <t>Шин Агриппина Василевна</t>
  </si>
  <si>
    <t>103</t>
  </si>
  <si>
    <t>Шокирова Лобар Ахаджон кизи</t>
  </si>
  <si>
    <t>104</t>
  </si>
  <si>
    <t>Эгамбердиев Шарофутдин Тожибоевич</t>
  </si>
  <si>
    <t>105</t>
  </si>
  <si>
    <t>Эшматов Сираджиддин Авазович</t>
  </si>
  <si>
    <t>106</t>
  </si>
  <si>
    <t>Юлдашев Азамат Убайдуллаевич</t>
  </si>
  <si>
    <t>107</t>
  </si>
  <si>
    <t>Юлдашев Максуджан Абдуллаевич</t>
  </si>
  <si>
    <t>108</t>
  </si>
  <si>
    <t>Юсупов Маъруфжон Мўминжонович</t>
  </si>
  <si>
    <t>109</t>
  </si>
  <si>
    <t>Юсупов Сардор Аброр угли</t>
  </si>
  <si>
    <t>Муслитдинов Нодир Хожиевич</t>
  </si>
  <si>
    <t>Рахбарият</t>
  </si>
  <si>
    <t>Гулистон</t>
  </si>
  <si>
    <t>Фергона</t>
  </si>
  <si>
    <t>Исматов Иброхим Шахриёрович</t>
  </si>
  <si>
    <t xml:space="preserve">Исматов Иброхим </t>
  </si>
  <si>
    <t>Талим сифати</t>
  </si>
  <si>
    <t>Кадиров Баходир Батирович</t>
  </si>
  <si>
    <t>Конплпанс</t>
  </si>
  <si>
    <t>Маманазаров Жахонгир Норбутаевич</t>
  </si>
  <si>
    <t>Жихоз бўлими</t>
  </si>
  <si>
    <t xml:space="preserve">Муминова Махфуза Шарифжановна </t>
  </si>
  <si>
    <t>Муминова Махфуза Шарифжановна</t>
  </si>
  <si>
    <t>Молия</t>
  </si>
  <si>
    <t>Одилов Аброр Ахмаджон уғли</t>
  </si>
  <si>
    <t>Назорат -тахлили бошқармаси</t>
  </si>
  <si>
    <t>Назорат-тахлил</t>
  </si>
  <si>
    <t>Усанов Зафар Бекназарович</t>
  </si>
  <si>
    <t>Усанов Зафар Букназарович</t>
  </si>
  <si>
    <t>Молия бошқарма</t>
  </si>
  <si>
    <t>Усмонов Маьруфжон Мамиржонович</t>
  </si>
  <si>
    <t>Юлдашов Аброржон Комилжонович</t>
  </si>
  <si>
    <t xml:space="preserve">Халқаро хамкорлик ва чет эл </t>
  </si>
  <si>
    <t>Халқаро</t>
  </si>
  <si>
    <t>Всего итог на 01.10.2021г.</t>
  </si>
  <si>
    <t>Министерство дошкольного образование</t>
  </si>
  <si>
    <t>Командировочный расходы с 01.01.2021 года по 01.10.2021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</si>
</sst>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00_р_._-;\-* #,##0.00_р_._-;_-* &quot;-&quot;??_р_._-;_-@_-"/>
  </numFmts>
  <fonts count="12" x14ac:knownFonts="1">
    <font>
      <sz val="11"/>
      <color theme="1"/>
      <name val="Calibri"/>
      <family val="2"/>
      <scheme val="minor"/>
    </font>
    <font>
      <sz val="11"/>
      <color theme="1"/>
      <name val="Calibri"/>
      <family val="2"/>
      <scheme val="minor"/>
    </font>
    <font>
      <b/>
      <sz val="11"/>
      <color indexed="8"/>
      <name val="Times New Roman"/>
      <family val="1"/>
    </font>
    <font>
      <sz val="9"/>
      <color indexed="8"/>
      <name val="Times New Roman"/>
      <family val="1"/>
    </font>
    <font>
      <b/>
      <sz val="9"/>
      <color indexed="8"/>
      <name val="Times New Roman"/>
      <family val="1"/>
    </font>
    <font>
      <b/>
      <sz val="9"/>
      <color indexed="8"/>
      <name val="Times New Roman"/>
      <family val="1"/>
      <charset val="204"/>
    </font>
    <font>
      <b/>
      <sz val="11"/>
      <color theme="1"/>
      <name val="Calibri"/>
      <family val="2"/>
      <scheme val="minor"/>
    </font>
    <font>
      <b/>
      <sz val="9"/>
      <color rgb="FFFF0000"/>
      <name val="Times New Roman"/>
      <family val="1"/>
    </font>
    <font>
      <b/>
      <sz val="9"/>
      <color indexed="81"/>
      <name val="Tahoma"/>
      <family val="2"/>
      <charset val="204"/>
    </font>
    <font>
      <sz val="9"/>
      <color indexed="81"/>
      <name val="Tahoma"/>
      <family val="2"/>
      <charset val="204"/>
    </font>
    <font>
      <sz val="9"/>
      <color indexed="8"/>
      <name val="Times New Roman"/>
      <family val="1"/>
      <charset val="204"/>
    </font>
    <font>
      <b/>
      <sz val="11"/>
      <color indexed="8"/>
      <name val="Times New Roman"/>
      <family val="1"/>
      <charset val="204"/>
    </font>
  </fonts>
  <fills count="5">
    <fill>
      <patternFill patternType="none"/>
    </fill>
    <fill>
      <patternFill patternType="gray125"/>
    </fill>
    <fill>
      <patternFill patternType="solid">
        <fgColor theme="4" tint="0.79998168889431442"/>
        <bgColor indexed="65"/>
      </patternFill>
    </fill>
    <fill>
      <patternFill patternType="solid">
        <fgColor rgb="FFFFFF00"/>
        <bgColor indexed="64"/>
      </patternFill>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6">
    <xf numFmtId="0" fontId="0" fillId="0" borderId="0" xfId="0"/>
    <xf numFmtId="0" fontId="1" fillId="2" borderId="0" xfId="0" applyNumberFormat="1" applyFont="1" applyFill="1" applyBorder="1"/>
    <xf numFmtId="0" fontId="2"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left" vertical="center"/>
    </xf>
    <xf numFmtId="165" fontId="3" fillId="0" borderId="2" xfId="1" applyNumberFormat="1" applyFont="1" applyFill="1" applyBorder="1" applyAlignment="1">
      <alignment horizontal="right" vertical="center"/>
    </xf>
    <xf numFmtId="49" fontId="4" fillId="3" borderId="2" xfId="0" applyNumberFormat="1" applyFont="1" applyFill="1" applyBorder="1" applyAlignment="1">
      <alignment vertical="center"/>
    </xf>
    <xf numFmtId="49" fontId="5" fillId="3" borderId="2" xfId="0" applyNumberFormat="1" applyFont="1" applyFill="1" applyBorder="1" applyAlignment="1">
      <alignment vertical="center"/>
    </xf>
    <xf numFmtId="165" fontId="4" fillId="3" borderId="2" xfId="1" applyNumberFormat="1" applyFont="1" applyFill="1" applyBorder="1" applyAlignment="1">
      <alignment horizontal="right" vertical="center"/>
    </xf>
    <xf numFmtId="0" fontId="6" fillId="2" borderId="0" xfId="0" applyNumberFormat="1" applyFont="1" applyFill="1" applyBorder="1"/>
    <xf numFmtId="49" fontId="5" fillId="3" borderId="2" xfId="0" applyNumberFormat="1" applyFont="1" applyFill="1" applyBorder="1" applyAlignment="1">
      <alignment horizontal="left" vertical="center"/>
    </xf>
    <xf numFmtId="165" fontId="7" fillId="3" borderId="2" xfId="1" applyNumberFormat="1" applyFont="1" applyFill="1" applyBorder="1" applyAlignment="1">
      <alignment horizontal="right" vertical="center"/>
    </xf>
    <xf numFmtId="0" fontId="0" fillId="0" borderId="0" xfId="0" applyNumberFormat="1" applyFont="1" applyFill="1" applyBorder="1"/>
    <xf numFmtId="49" fontId="5" fillId="3" borderId="3"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3" fillId="0" borderId="3" xfId="0" applyNumberFormat="1" applyFont="1" applyFill="1" applyBorder="1" applyAlignment="1">
      <alignment horizontal="left" vertical="center"/>
    </xf>
    <xf numFmtId="165" fontId="3" fillId="0" borderId="4" xfId="1" applyNumberFormat="1" applyFont="1" applyFill="1" applyBorder="1" applyAlignment="1">
      <alignment horizontal="right" vertical="center"/>
    </xf>
    <xf numFmtId="49" fontId="4" fillId="4" borderId="2" xfId="0" applyNumberFormat="1" applyFont="1" applyFill="1" applyBorder="1" applyAlignment="1">
      <alignment vertical="center"/>
    </xf>
    <xf numFmtId="49" fontId="5" fillId="4" borderId="2" xfId="0" applyNumberFormat="1" applyFont="1" applyFill="1" applyBorder="1" applyAlignment="1">
      <alignment horizontal="left" vertical="center"/>
    </xf>
    <xf numFmtId="49" fontId="5" fillId="4" borderId="2" xfId="0" applyNumberFormat="1" applyFont="1" applyFill="1" applyBorder="1" applyAlignment="1">
      <alignment horizontal="center" vertical="center"/>
    </xf>
    <xf numFmtId="49" fontId="10" fillId="4" borderId="2" xfId="0" applyNumberFormat="1" applyFont="1" applyFill="1" applyBorder="1" applyAlignment="1">
      <alignment horizontal="center" vertical="center"/>
    </xf>
    <xf numFmtId="165" fontId="10" fillId="4" borderId="2" xfId="1" applyNumberFormat="1" applyFont="1" applyFill="1" applyBorder="1" applyAlignment="1">
      <alignment horizontal="right" vertical="center"/>
    </xf>
    <xf numFmtId="49" fontId="5" fillId="0" borderId="2" xfId="0" applyNumberFormat="1" applyFont="1" applyFill="1" applyBorder="1" applyAlignment="1">
      <alignment horizontal="left" vertical="center"/>
    </xf>
    <xf numFmtId="49" fontId="10" fillId="4" borderId="2" xfId="0" applyNumberFormat="1" applyFont="1" applyFill="1" applyBorder="1" applyAlignment="1">
      <alignment vertical="center"/>
    </xf>
    <xf numFmtId="49" fontId="10" fillId="4" borderId="2" xfId="0" applyNumberFormat="1" applyFont="1" applyFill="1" applyBorder="1" applyAlignment="1">
      <alignment horizontal="left" vertical="center"/>
    </xf>
    <xf numFmtId="49" fontId="5" fillId="3" borderId="4" xfId="0" applyNumberFormat="1" applyFont="1" applyFill="1" applyBorder="1" applyAlignment="1">
      <alignment horizontal="center" vertical="center"/>
    </xf>
    <xf numFmtId="49" fontId="5" fillId="3" borderId="3" xfId="0" applyNumberFormat="1" applyFont="1" applyFill="1" applyBorder="1" applyAlignment="1">
      <alignment horizontal="left"/>
    </xf>
    <xf numFmtId="49" fontId="5" fillId="3" borderId="4" xfId="0" applyNumberFormat="1" applyFont="1" applyFill="1" applyBorder="1" applyAlignment="1">
      <alignment horizontal="left"/>
    </xf>
    <xf numFmtId="49" fontId="5" fillId="3" borderId="3"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3" xfId="0" applyNumberFormat="1" applyFont="1" applyFill="1" applyBorder="1" applyAlignment="1">
      <alignment vertical="center"/>
    </xf>
    <xf numFmtId="49" fontId="5" fillId="3" borderId="4" xfId="0" applyNumberFormat="1" applyFont="1" applyFill="1" applyBorder="1" applyAlignment="1">
      <alignment vertical="center"/>
    </xf>
    <xf numFmtId="49" fontId="4" fillId="3" borderId="3"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4" fontId="11" fillId="0" borderId="4" xfId="0" applyNumberFormat="1" applyFont="1" applyFill="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68"/>
  <sheetViews>
    <sheetView tabSelected="1" workbookViewId="0">
      <pane xSplit="2" ySplit="3" topLeftCell="C4" activePane="bottomRight" state="frozen"/>
      <selection pane="topRight" activeCell="C1" sqref="C1"/>
      <selection pane="bottomLeft" activeCell="A3" sqref="A3"/>
      <selection pane="bottomRight" activeCell="F23" sqref="F23"/>
    </sheetView>
  </sheetViews>
  <sheetFormatPr defaultRowHeight="15" x14ac:dyDescent="0.25"/>
  <cols>
    <col min="1" max="1" width="7.5703125" style="12" customWidth="1"/>
    <col min="2" max="2" width="34.42578125" style="12" customWidth="1"/>
    <col min="3" max="3" width="14.28515625" style="12" customWidth="1"/>
    <col min="4" max="8" width="17.140625" style="12" customWidth="1"/>
    <col min="9" max="231" width="9.140625" style="1"/>
    <col min="232" max="232" width="7.5703125" style="1" customWidth="1"/>
    <col min="233" max="233" width="34.42578125" style="1" customWidth="1"/>
    <col min="234" max="234" width="0" style="1" hidden="1" customWidth="1"/>
    <col min="235" max="241" width="17.140625" style="1" customWidth="1"/>
    <col min="242" max="243" width="24.42578125" style="1" customWidth="1"/>
    <col min="244" max="244" width="15.5703125" style="1" customWidth="1"/>
    <col min="245" max="245" width="15.7109375" style="1" customWidth="1"/>
    <col min="246" max="246" width="17.85546875" style="1" customWidth="1"/>
    <col min="247" max="247" width="14.7109375" style="1" customWidth="1"/>
    <col min="248" max="248" width="16.42578125" style="1" customWidth="1"/>
    <col min="249" max="249" width="15.7109375" style="1" customWidth="1"/>
    <col min="250" max="250" width="17.28515625" style="1" customWidth="1"/>
    <col min="251" max="251" width="16.85546875" style="1" customWidth="1"/>
    <col min="252" max="255" width="9.28515625" style="1" customWidth="1"/>
    <col min="256" max="256" width="16.7109375" style="1" customWidth="1"/>
    <col min="257" max="258" width="19.28515625" style="1" bestFit="1" customWidth="1"/>
    <col min="259" max="260" width="9.140625" style="1"/>
    <col min="261" max="262" width="14.7109375" style="1" bestFit="1" customWidth="1"/>
    <col min="263" max="487" width="9.140625" style="1"/>
    <col min="488" max="488" width="7.5703125" style="1" customWidth="1"/>
    <col min="489" max="489" width="34.42578125" style="1" customWidth="1"/>
    <col min="490" max="490" width="0" style="1" hidden="1" customWidth="1"/>
    <col min="491" max="497" width="17.140625" style="1" customWidth="1"/>
    <col min="498" max="499" width="24.42578125" style="1" customWidth="1"/>
    <col min="500" max="500" width="15.5703125" style="1" customWidth="1"/>
    <col min="501" max="501" width="15.7109375" style="1" customWidth="1"/>
    <col min="502" max="502" width="17.85546875" style="1" customWidth="1"/>
    <col min="503" max="503" width="14.7109375" style="1" customWidth="1"/>
    <col min="504" max="504" width="16.42578125" style="1" customWidth="1"/>
    <col min="505" max="505" width="15.7109375" style="1" customWidth="1"/>
    <col min="506" max="506" width="17.28515625" style="1" customWidth="1"/>
    <col min="507" max="507" width="16.85546875" style="1" customWidth="1"/>
    <col min="508" max="511" width="9.28515625" style="1" customWidth="1"/>
    <col min="512" max="512" width="16.7109375" style="1" customWidth="1"/>
    <col min="513" max="514" width="19.28515625" style="1" bestFit="1" customWidth="1"/>
    <col min="515" max="516" width="9.140625" style="1"/>
    <col min="517" max="518" width="14.7109375" style="1" bestFit="1" customWidth="1"/>
    <col min="519" max="743" width="9.140625" style="1"/>
    <col min="744" max="744" width="7.5703125" style="1" customWidth="1"/>
    <col min="745" max="745" width="34.42578125" style="1" customWidth="1"/>
    <col min="746" max="746" width="0" style="1" hidden="1" customWidth="1"/>
    <col min="747" max="753" width="17.140625" style="1" customWidth="1"/>
    <col min="754" max="755" width="24.42578125" style="1" customWidth="1"/>
    <col min="756" max="756" width="15.5703125" style="1" customWidth="1"/>
    <col min="757" max="757" width="15.7109375" style="1" customWidth="1"/>
    <col min="758" max="758" width="17.85546875" style="1" customWidth="1"/>
    <col min="759" max="759" width="14.7109375" style="1" customWidth="1"/>
    <col min="760" max="760" width="16.42578125" style="1" customWidth="1"/>
    <col min="761" max="761" width="15.7109375" style="1" customWidth="1"/>
    <col min="762" max="762" width="17.28515625" style="1" customWidth="1"/>
    <col min="763" max="763" width="16.85546875" style="1" customWidth="1"/>
    <col min="764" max="767" width="9.28515625" style="1" customWidth="1"/>
    <col min="768" max="768" width="16.7109375" style="1" customWidth="1"/>
    <col min="769" max="770" width="19.28515625" style="1" bestFit="1" customWidth="1"/>
    <col min="771" max="772" width="9.140625" style="1"/>
    <col min="773" max="774" width="14.7109375" style="1" bestFit="1" customWidth="1"/>
    <col min="775" max="999" width="9.140625" style="1"/>
    <col min="1000" max="1000" width="7.5703125" style="1" customWidth="1"/>
    <col min="1001" max="1001" width="34.42578125" style="1" customWidth="1"/>
    <col min="1002" max="1002" width="0" style="1" hidden="1" customWidth="1"/>
    <col min="1003" max="1009" width="17.140625" style="1" customWidth="1"/>
    <col min="1010" max="1011" width="24.42578125" style="1" customWidth="1"/>
    <col min="1012" max="1012" width="15.5703125" style="1" customWidth="1"/>
    <col min="1013" max="1013" width="15.7109375" style="1" customWidth="1"/>
    <col min="1014" max="1014" width="17.85546875" style="1" customWidth="1"/>
    <col min="1015" max="1015" width="14.7109375" style="1" customWidth="1"/>
    <col min="1016" max="1016" width="16.42578125" style="1" customWidth="1"/>
    <col min="1017" max="1017" width="15.7109375" style="1" customWidth="1"/>
    <col min="1018" max="1018" width="17.28515625" style="1" customWidth="1"/>
    <col min="1019" max="1019" width="16.85546875" style="1" customWidth="1"/>
    <col min="1020" max="1023" width="9.28515625" style="1" customWidth="1"/>
    <col min="1024" max="1024" width="16.7109375" style="1" customWidth="1"/>
    <col min="1025" max="1026" width="19.28515625" style="1" bestFit="1" customWidth="1"/>
    <col min="1027" max="1028" width="9.140625" style="1"/>
    <col min="1029" max="1030" width="14.7109375" style="1" bestFit="1" customWidth="1"/>
    <col min="1031" max="1255" width="9.140625" style="1"/>
    <col min="1256" max="1256" width="7.5703125" style="1" customWidth="1"/>
    <col min="1257" max="1257" width="34.42578125" style="1" customWidth="1"/>
    <col min="1258" max="1258" width="0" style="1" hidden="1" customWidth="1"/>
    <col min="1259" max="1265" width="17.140625" style="1" customWidth="1"/>
    <col min="1266" max="1267" width="24.42578125" style="1" customWidth="1"/>
    <col min="1268" max="1268" width="15.5703125" style="1" customWidth="1"/>
    <col min="1269" max="1269" width="15.7109375" style="1" customWidth="1"/>
    <col min="1270" max="1270" width="17.85546875" style="1" customWidth="1"/>
    <col min="1271" max="1271" width="14.7109375" style="1" customWidth="1"/>
    <col min="1272" max="1272" width="16.42578125" style="1" customWidth="1"/>
    <col min="1273" max="1273" width="15.7109375" style="1" customWidth="1"/>
    <col min="1274" max="1274" width="17.28515625" style="1" customWidth="1"/>
    <col min="1275" max="1275" width="16.85546875" style="1" customWidth="1"/>
    <col min="1276" max="1279" width="9.28515625" style="1" customWidth="1"/>
    <col min="1280" max="1280" width="16.7109375" style="1" customWidth="1"/>
    <col min="1281" max="1282" width="19.28515625" style="1" bestFit="1" customWidth="1"/>
    <col min="1283" max="1284" width="9.140625" style="1"/>
    <col min="1285" max="1286" width="14.7109375" style="1" bestFit="1" customWidth="1"/>
    <col min="1287" max="1511" width="9.140625" style="1"/>
    <col min="1512" max="1512" width="7.5703125" style="1" customWidth="1"/>
    <col min="1513" max="1513" width="34.42578125" style="1" customWidth="1"/>
    <col min="1514" max="1514" width="0" style="1" hidden="1" customWidth="1"/>
    <col min="1515" max="1521" width="17.140625" style="1" customWidth="1"/>
    <col min="1522" max="1523" width="24.42578125" style="1" customWidth="1"/>
    <col min="1524" max="1524" width="15.5703125" style="1" customWidth="1"/>
    <col min="1525" max="1525" width="15.7109375" style="1" customWidth="1"/>
    <col min="1526" max="1526" width="17.85546875" style="1" customWidth="1"/>
    <col min="1527" max="1527" width="14.7109375" style="1" customWidth="1"/>
    <col min="1528" max="1528" width="16.42578125" style="1" customWidth="1"/>
    <col min="1529" max="1529" width="15.7109375" style="1" customWidth="1"/>
    <col min="1530" max="1530" width="17.28515625" style="1" customWidth="1"/>
    <col min="1531" max="1531" width="16.85546875" style="1" customWidth="1"/>
    <col min="1532" max="1535" width="9.28515625" style="1" customWidth="1"/>
    <col min="1536" max="1536" width="16.7109375" style="1" customWidth="1"/>
    <col min="1537" max="1538" width="19.28515625" style="1" bestFit="1" customWidth="1"/>
    <col min="1539" max="1540" width="9.140625" style="1"/>
    <col min="1541" max="1542" width="14.7109375" style="1" bestFit="1" customWidth="1"/>
    <col min="1543" max="1767" width="9.140625" style="1"/>
    <col min="1768" max="1768" width="7.5703125" style="1" customWidth="1"/>
    <col min="1769" max="1769" width="34.42578125" style="1" customWidth="1"/>
    <col min="1770" max="1770" width="0" style="1" hidden="1" customWidth="1"/>
    <col min="1771" max="1777" width="17.140625" style="1" customWidth="1"/>
    <col min="1778" max="1779" width="24.42578125" style="1" customWidth="1"/>
    <col min="1780" max="1780" width="15.5703125" style="1" customWidth="1"/>
    <col min="1781" max="1781" width="15.7109375" style="1" customWidth="1"/>
    <col min="1782" max="1782" width="17.85546875" style="1" customWidth="1"/>
    <col min="1783" max="1783" width="14.7109375" style="1" customWidth="1"/>
    <col min="1784" max="1784" width="16.42578125" style="1" customWidth="1"/>
    <col min="1785" max="1785" width="15.7109375" style="1" customWidth="1"/>
    <col min="1786" max="1786" width="17.28515625" style="1" customWidth="1"/>
    <col min="1787" max="1787" width="16.85546875" style="1" customWidth="1"/>
    <col min="1788" max="1791" width="9.28515625" style="1" customWidth="1"/>
    <col min="1792" max="1792" width="16.7109375" style="1" customWidth="1"/>
    <col min="1793" max="1794" width="19.28515625" style="1" bestFit="1" customWidth="1"/>
    <col min="1795" max="1796" width="9.140625" style="1"/>
    <col min="1797" max="1798" width="14.7109375" style="1" bestFit="1" customWidth="1"/>
    <col min="1799" max="2023" width="9.140625" style="1"/>
    <col min="2024" max="2024" width="7.5703125" style="1" customWidth="1"/>
    <col min="2025" max="2025" width="34.42578125" style="1" customWidth="1"/>
    <col min="2026" max="2026" width="0" style="1" hidden="1" customWidth="1"/>
    <col min="2027" max="2033" width="17.140625" style="1" customWidth="1"/>
    <col min="2034" max="2035" width="24.42578125" style="1" customWidth="1"/>
    <col min="2036" max="2036" width="15.5703125" style="1" customWidth="1"/>
    <col min="2037" max="2037" width="15.7109375" style="1" customWidth="1"/>
    <col min="2038" max="2038" width="17.85546875" style="1" customWidth="1"/>
    <col min="2039" max="2039" width="14.7109375" style="1" customWidth="1"/>
    <col min="2040" max="2040" width="16.42578125" style="1" customWidth="1"/>
    <col min="2041" max="2041" width="15.7109375" style="1" customWidth="1"/>
    <col min="2042" max="2042" width="17.28515625" style="1" customWidth="1"/>
    <col min="2043" max="2043" width="16.85546875" style="1" customWidth="1"/>
    <col min="2044" max="2047" width="9.28515625" style="1" customWidth="1"/>
    <col min="2048" max="2048" width="16.7109375" style="1" customWidth="1"/>
    <col min="2049" max="2050" width="19.28515625" style="1" bestFit="1" customWidth="1"/>
    <col min="2051" max="2052" width="9.140625" style="1"/>
    <col min="2053" max="2054" width="14.7109375" style="1" bestFit="1" customWidth="1"/>
    <col min="2055" max="2279" width="9.140625" style="1"/>
    <col min="2280" max="2280" width="7.5703125" style="1" customWidth="1"/>
    <col min="2281" max="2281" width="34.42578125" style="1" customWidth="1"/>
    <col min="2282" max="2282" width="0" style="1" hidden="1" customWidth="1"/>
    <col min="2283" max="2289" width="17.140625" style="1" customWidth="1"/>
    <col min="2290" max="2291" width="24.42578125" style="1" customWidth="1"/>
    <col min="2292" max="2292" width="15.5703125" style="1" customWidth="1"/>
    <col min="2293" max="2293" width="15.7109375" style="1" customWidth="1"/>
    <col min="2294" max="2294" width="17.85546875" style="1" customWidth="1"/>
    <col min="2295" max="2295" width="14.7109375" style="1" customWidth="1"/>
    <col min="2296" max="2296" width="16.42578125" style="1" customWidth="1"/>
    <col min="2297" max="2297" width="15.7109375" style="1" customWidth="1"/>
    <col min="2298" max="2298" width="17.28515625" style="1" customWidth="1"/>
    <col min="2299" max="2299" width="16.85546875" style="1" customWidth="1"/>
    <col min="2300" max="2303" width="9.28515625" style="1" customWidth="1"/>
    <col min="2304" max="2304" width="16.7109375" style="1" customWidth="1"/>
    <col min="2305" max="2306" width="19.28515625" style="1" bestFit="1" customWidth="1"/>
    <col min="2307" max="2308" width="9.140625" style="1"/>
    <col min="2309" max="2310" width="14.7109375" style="1" bestFit="1" customWidth="1"/>
    <col min="2311" max="2535" width="9.140625" style="1"/>
    <col min="2536" max="2536" width="7.5703125" style="1" customWidth="1"/>
    <col min="2537" max="2537" width="34.42578125" style="1" customWidth="1"/>
    <col min="2538" max="2538" width="0" style="1" hidden="1" customWidth="1"/>
    <col min="2539" max="2545" width="17.140625" style="1" customWidth="1"/>
    <col min="2546" max="2547" width="24.42578125" style="1" customWidth="1"/>
    <col min="2548" max="2548" width="15.5703125" style="1" customWidth="1"/>
    <col min="2549" max="2549" width="15.7109375" style="1" customWidth="1"/>
    <col min="2550" max="2550" width="17.85546875" style="1" customWidth="1"/>
    <col min="2551" max="2551" width="14.7109375" style="1" customWidth="1"/>
    <col min="2552" max="2552" width="16.42578125" style="1" customWidth="1"/>
    <col min="2553" max="2553" width="15.7109375" style="1" customWidth="1"/>
    <col min="2554" max="2554" width="17.28515625" style="1" customWidth="1"/>
    <col min="2555" max="2555" width="16.85546875" style="1" customWidth="1"/>
    <col min="2556" max="2559" width="9.28515625" style="1" customWidth="1"/>
    <col min="2560" max="2560" width="16.7109375" style="1" customWidth="1"/>
    <col min="2561" max="2562" width="19.28515625" style="1" bestFit="1" customWidth="1"/>
    <col min="2563" max="2564" width="9.140625" style="1"/>
    <col min="2565" max="2566" width="14.7109375" style="1" bestFit="1" customWidth="1"/>
    <col min="2567" max="2791" width="9.140625" style="1"/>
    <col min="2792" max="2792" width="7.5703125" style="1" customWidth="1"/>
    <col min="2793" max="2793" width="34.42578125" style="1" customWidth="1"/>
    <col min="2794" max="2794" width="0" style="1" hidden="1" customWidth="1"/>
    <col min="2795" max="2801" width="17.140625" style="1" customWidth="1"/>
    <col min="2802" max="2803" width="24.42578125" style="1" customWidth="1"/>
    <col min="2804" max="2804" width="15.5703125" style="1" customWidth="1"/>
    <col min="2805" max="2805" width="15.7109375" style="1" customWidth="1"/>
    <col min="2806" max="2806" width="17.85546875" style="1" customWidth="1"/>
    <col min="2807" max="2807" width="14.7109375" style="1" customWidth="1"/>
    <col min="2808" max="2808" width="16.42578125" style="1" customWidth="1"/>
    <col min="2809" max="2809" width="15.7109375" style="1" customWidth="1"/>
    <col min="2810" max="2810" width="17.28515625" style="1" customWidth="1"/>
    <col min="2811" max="2811" width="16.85546875" style="1" customWidth="1"/>
    <col min="2812" max="2815" width="9.28515625" style="1" customWidth="1"/>
    <col min="2816" max="2816" width="16.7109375" style="1" customWidth="1"/>
    <col min="2817" max="2818" width="19.28515625" style="1" bestFit="1" customWidth="1"/>
    <col min="2819" max="2820" width="9.140625" style="1"/>
    <col min="2821" max="2822" width="14.7109375" style="1" bestFit="1" customWidth="1"/>
    <col min="2823" max="3047" width="9.140625" style="1"/>
    <col min="3048" max="3048" width="7.5703125" style="1" customWidth="1"/>
    <col min="3049" max="3049" width="34.42578125" style="1" customWidth="1"/>
    <col min="3050" max="3050" width="0" style="1" hidden="1" customWidth="1"/>
    <col min="3051" max="3057" width="17.140625" style="1" customWidth="1"/>
    <col min="3058" max="3059" width="24.42578125" style="1" customWidth="1"/>
    <col min="3060" max="3060" width="15.5703125" style="1" customWidth="1"/>
    <col min="3061" max="3061" width="15.7109375" style="1" customWidth="1"/>
    <col min="3062" max="3062" width="17.85546875" style="1" customWidth="1"/>
    <col min="3063" max="3063" width="14.7109375" style="1" customWidth="1"/>
    <col min="3064" max="3064" width="16.42578125" style="1" customWidth="1"/>
    <col min="3065" max="3065" width="15.7109375" style="1" customWidth="1"/>
    <col min="3066" max="3066" width="17.28515625" style="1" customWidth="1"/>
    <col min="3067" max="3067" width="16.85546875" style="1" customWidth="1"/>
    <col min="3068" max="3071" width="9.28515625" style="1" customWidth="1"/>
    <col min="3072" max="3072" width="16.7109375" style="1" customWidth="1"/>
    <col min="3073" max="3074" width="19.28515625" style="1" bestFit="1" customWidth="1"/>
    <col min="3075" max="3076" width="9.140625" style="1"/>
    <col min="3077" max="3078" width="14.7109375" style="1" bestFit="1" customWidth="1"/>
    <col min="3079" max="3303" width="9.140625" style="1"/>
    <col min="3304" max="3304" width="7.5703125" style="1" customWidth="1"/>
    <col min="3305" max="3305" width="34.42578125" style="1" customWidth="1"/>
    <col min="3306" max="3306" width="0" style="1" hidden="1" customWidth="1"/>
    <col min="3307" max="3313" width="17.140625" style="1" customWidth="1"/>
    <col min="3314" max="3315" width="24.42578125" style="1" customWidth="1"/>
    <col min="3316" max="3316" width="15.5703125" style="1" customWidth="1"/>
    <col min="3317" max="3317" width="15.7109375" style="1" customWidth="1"/>
    <col min="3318" max="3318" width="17.85546875" style="1" customWidth="1"/>
    <col min="3319" max="3319" width="14.7109375" style="1" customWidth="1"/>
    <col min="3320" max="3320" width="16.42578125" style="1" customWidth="1"/>
    <col min="3321" max="3321" width="15.7109375" style="1" customWidth="1"/>
    <col min="3322" max="3322" width="17.28515625" style="1" customWidth="1"/>
    <col min="3323" max="3323" width="16.85546875" style="1" customWidth="1"/>
    <col min="3324" max="3327" width="9.28515625" style="1" customWidth="1"/>
    <col min="3328" max="3328" width="16.7109375" style="1" customWidth="1"/>
    <col min="3329" max="3330" width="19.28515625" style="1" bestFit="1" customWidth="1"/>
    <col min="3331" max="3332" width="9.140625" style="1"/>
    <col min="3333" max="3334" width="14.7109375" style="1" bestFit="1" customWidth="1"/>
    <col min="3335" max="3559" width="9.140625" style="1"/>
    <col min="3560" max="3560" width="7.5703125" style="1" customWidth="1"/>
    <col min="3561" max="3561" width="34.42578125" style="1" customWidth="1"/>
    <col min="3562" max="3562" width="0" style="1" hidden="1" customWidth="1"/>
    <col min="3563" max="3569" width="17.140625" style="1" customWidth="1"/>
    <col min="3570" max="3571" width="24.42578125" style="1" customWidth="1"/>
    <col min="3572" max="3572" width="15.5703125" style="1" customWidth="1"/>
    <col min="3573" max="3573" width="15.7109375" style="1" customWidth="1"/>
    <col min="3574" max="3574" width="17.85546875" style="1" customWidth="1"/>
    <col min="3575" max="3575" width="14.7109375" style="1" customWidth="1"/>
    <col min="3576" max="3576" width="16.42578125" style="1" customWidth="1"/>
    <col min="3577" max="3577" width="15.7109375" style="1" customWidth="1"/>
    <col min="3578" max="3578" width="17.28515625" style="1" customWidth="1"/>
    <col min="3579" max="3579" width="16.85546875" style="1" customWidth="1"/>
    <col min="3580" max="3583" width="9.28515625" style="1" customWidth="1"/>
    <col min="3584" max="3584" width="16.7109375" style="1" customWidth="1"/>
    <col min="3585" max="3586" width="19.28515625" style="1" bestFit="1" customWidth="1"/>
    <col min="3587" max="3588" width="9.140625" style="1"/>
    <col min="3589" max="3590" width="14.7109375" style="1" bestFit="1" customWidth="1"/>
    <col min="3591" max="3815" width="9.140625" style="1"/>
    <col min="3816" max="3816" width="7.5703125" style="1" customWidth="1"/>
    <col min="3817" max="3817" width="34.42578125" style="1" customWidth="1"/>
    <col min="3818" max="3818" width="0" style="1" hidden="1" customWidth="1"/>
    <col min="3819" max="3825" width="17.140625" style="1" customWidth="1"/>
    <col min="3826" max="3827" width="24.42578125" style="1" customWidth="1"/>
    <col min="3828" max="3828" width="15.5703125" style="1" customWidth="1"/>
    <col min="3829" max="3829" width="15.7109375" style="1" customWidth="1"/>
    <col min="3830" max="3830" width="17.85546875" style="1" customWidth="1"/>
    <col min="3831" max="3831" width="14.7109375" style="1" customWidth="1"/>
    <col min="3832" max="3832" width="16.42578125" style="1" customWidth="1"/>
    <col min="3833" max="3833" width="15.7109375" style="1" customWidth="1"/>
    <col min="3834" max="3834" width="17.28515625" style="1" customWidth="1"/>
    <col min="3835" max="3835" width="16.85546875" style="1" customWidth="1"/>
    <col min="3836" max="3839" width="9.28515625" style="1" customWidth="1"/>
    <col min="3840" max="3840" width="16.7109375" style="1" customWidth="1"/>
    <col min="3841" max="3842" width="19.28515625" style="1" bestFit="1" customWidth="1"/>
    <col min="3843" max="3844" width="9.140625" style="1"/>
    <col min="3845" max="3846" width="14.7109375" style="1" bestFit="1" customWidth="1"/>
    <col min="3847" max="4071" width="9.140625" style="1"/>
    <col min="4072" max="4072" width="7.5703125" style="1" customWidth="1"/>
    <col min="4073" max="4073" width="34.42578125" style="1" customWidth="1"/>
    <col min="4074" max="4074" width="0" style="1" hidden="1" customWidth="1"/>
    <col min="4075" max="4081" width="17.140625" style="1" customWidth="1"/>
    <col min="4082" max="4083" width="24.42578125" style="1" customWidth="1"/>
    <col min="4084" max="4084" width="15.5703125" style="1" customWidth="1"/>
    <col min="4085" max="4085" width="15.7109375" style="1" customWidth="1"/>
    <col min="4086" max="4086" width="17.85546875" style="1" customWidth="1"/>
    <col min="4087" max="4087" width="14.7109375" style="1" customWidth="1"/>
    <col min="4088" max="4088" width="16.42578125" style="1" customWidth="1"/>
    <col min="4089" max="4089" width="15.7109375" style="1" customWidth="1"/>
    <col min="4090" max="4090" width="17.28515625" style="1" customWidth="1"/>
    <col min="4091" max="4091" width="16.85546875" style="1" customWidth="1"/>
    <col min="4092" max="4095" width="9.28515625" style="1" customWidth="1"/>
    <col min="4096" max="4096" width="16.7109375" style="1" customWidth="1"/>
    <col min="4097" max="4098" width="19.28515625" style="1" bestFit="1" customWidth="1"/>
    <col min="4099" max="4100" width="9.140625" style="1"/>
    <col min="4101" max="4102" width="14.7109375" style="1" bestFit="1" customWidth="1"/>
    <col min="4103" max="4327" width="9.140625" style="1"/>
    <col min="4328" max="4328" width="7.5703125" style="1" customWidth="1"/>
    <col min="4329" max="4329" width="34.42578125" style="1" customWidth="1"/>
    <col min="4330" max="4330" width="0" style="1" hidden="1" customWidth="1"/>
    <col min="4331" max="4337" width="17.140625" style="1" customWidth="1"/>
    <col min="4338" max="4339" width="24.42578125" style="1" customWidth="1"/>
    <col min="4340" max="4340" width="15.5703125" style="1" customWidth="1"/>
    <col min="4341" max="4341" width="15.7109375" style="1" customWidth="1"/>
    <col min="4342" max="4342" width="17.85546875" style="1" customWidth="1"/>
    <col min="4343" max="4343" width="14.7109375" style="1" customWidth="1"/>
    <col min="4344" max="4344" width="16.42578125" style="1" customWidth="1"/>
    <col min="4345" max="4345" width="15.7109375" style="1" customWidth="1"/>
    <col min="4346" max="4346" width="17.28515625" style="1" customWidth="1"/>
    <col min="4347" max="4347" width="16.85546875" style="1" customWidth="1"/>
    <col min="4348" max="4351" width="9.28515625" style="1" customWidth="1"/>
    <col min="4352" max="4352" width="16.7109375" style="1" customWidth="1"/>
    <col min="4353" max="4354" width="19.28515625" style="1" bestFit="1" customWidth="1"/>
    <col min="4355" max="4356" width="9.140625" style="1"/>
    <col min="4357" max="4358" width="14.7109375" style="1" bestFit="1" customWidth="1"/>
    <col min="4359" max="4583" width="9.140625" style="1"/>
    <col min="4584" max="4584" width="7.5703125" style="1" customWidth="1"/>
    <col min="4585" max="4585" width="34.42578125" style="1" customWidth="1"/>
    <col min="4586" max="4586" width="0" style="1" hidden="1" customWidth="1"/>
    <col min="4587" max="4593" width="17.140625" style="1" customWidth="1"/>
    <col min="4594" max="4595" width="24.42578125" style="1" customWidth="1"/>
    <col min="4596" max="4596" width="15.5703125" style="1" customWidth="1"/>
    <col min="4597" max="4597" width="15.7109375" style="1" customWidth="1"/>
    <col min="4598" max="4598" width="17.85546875" style="1" customWidth="1"/>
    <col min="4599" max="4599" width="14.7109375" style="1" customWidth="1"/>
    <col min="4600" max="4600" width="16.42578125" style="1" customWidth="1"/>
    <col min="4601" max="4601" width="15.7109375" style="1" customWidth="1"/>
    <col min="4602" max="4602" width="17.28515625" style="1" customWidth="1"/>
    <col min="4603" max="4603" width="16.85546875" style="1" customWidth="1"/>
    <col min="4604" max="4607" width="9.28515625" style="1" customWidth="1"/>
    <col min="4608" max="4608" width="16.7109375" style="1" customWidth="1"/>
    <col min="4609" max="4610" width="19.28515625" style="1" bestFit="1" customWidth="1"/>
    <col min="4611" max="4612" width="9.140625" style="1"/>
    <col min="4613" max="4614" width="14.7109375" style="1" bestFit="1" customWidth="1"/>
    <col min="4615" max="4839" width="9.140625" style="1"/>
    <col min="4840" max="4840" width="7.5703125" style="1" customWidth="1"/>
    <col min="4841" max="4841" width="34.42578125" style="1" customWidth="1"/>
    <col min="4842" max="4842" width="0" style="1" hidden="1" customWidth="1"/>
    <col min="4843" max="4849" width="17.140625" style="1" customWidth="1"/>
    <col min="4850" max="4851" width="24.42578125" style="1" customWidth="1"/>
    <col min="4852" max="4852" width="15.5703125" style="1" customWidth="1"/>
    <col min="4853" max="4853" width="15.7109375" style="1" customWidth="1"/>
    <col min="4854" max="4854" width="17.85546875" style="1" customWidth="1"/>
    <col min="4855" max="4855" width="14.7109375" style="1" customWidth="1"/>
    <col min="4856" max="4856" width="16.42578125" style="1" customWidth="1"/>
    <col min="4857" max="4857" width="15.7109375" style="1" customWidth="1"/>
    <col min="4858" max="4858" width="17.28515625" style="1" customWidth="1"/>
    <col min="4859" max="4859" width="16.85546875" style="1" customWidth="1"/>
    <col min="4860" max="4863" width="9.28515625" style="1" customWidth="1"/>
    <col min="4864" max="4864" width="16.7109375" style="1" customWidth="1"/>
    <col min="4865" max="4866" width="19.28515625" style="1" bestFit="1" customWidth="1"/>
    <col min="4867" max="4868" width="9.140625" style="1"/>
    <col min="4869" max="4870" width="14.7109375" style="1" bestFit="1" customWidth="1"/>
    <col min="4871" max="5095" width="9.140625" style="1"/>
    <col min="5096" max="5096" width="7.5703125" style="1" customWidth="1"/>
    <col min="5097" max="5097" width="34.42578125" style="1" customWidth="1"/>
    <col min="5098" max="5098" width="0" style="1" hidden="1" customWidth="1"/>
    <col min="5099" max="5105" width="17.140625" style="1" customWidth="1"/>
    <col min="5106" max="5107" width="24.42578125" style="1" customWidth="1"/>
    <col min="5108" max="5108" width="15.5703125" style="1" customWidth="1"/>
    <col min="5109" max="5109" width="15.7109375" style="1" customWidth="1"/>
    <col min="5110" max="5110" width="17.85546875" style="1" customWidth="1"/>
    <col min="5111" max="5111" width="14.7109375" style="1" customWidth="1"/>
    <col min="5112" max="5112" width="16.42578125" style="1" customWidth="1"/>
    <col min="5113" max="5113" width="15.7109375" style="1" customWidth="1"/>
    <col min="5114" max="5114" width="17.28515625" style="1" customWidth="1"/>
    <col min="5115" max="5115" width="16.85546875" style="1" customWidth="1"/>
    <col min="5116" max="5119" width="9.28515625" style="1" customWidth="1"/>
    <col min="5120" max="5120" width="16.7109375" style="1" customWidth="1"/>
    <col min="5121" max="5122" width="19.28515625" style="1" bestFit="1" customWidth="1"/>
    <col min="5123" max="5124" width="9.140625" style="1"/>
    <col min="5125" max="5126" width="14.7109375" style="1" bestFit="1" customWidth="1"/>
    <col min="5127" max="5351" width="9.140625" style="1"/>
    <col min="5352" max="5352" width="7.5703125" style="1" customWidth="1"/>
    <col min="5353" max="5353" width="34.42578125" style="1" customWidth="1"/>
    <col min="5354" max="5354" width="0" style="1" hidden="1" customWidth="1"/>
    <col min="5355" max="5361" width="17.140625" style="1" customWidth="1"/>
    <col min="5362" max="5363" width="24.42578125" style="1" customWidth="1"/>
    <col min="5364" max="5364" width="15.5703125" style="1" customWidth="1"/>
    <col min="5365" max="5365" width="15.7109375" style="1" customWidth="1"/>
    <col min="5366" max="5366" width="17.85546875" style="1" customWidth="1"/>
    <col min="5367" max="5367" width="14.7109375" style="1" customWidth="1"/>
    <col min="5368" max="5368" width="16.42578125" style="1" customWidth="1"/>
    <col min="5369" max="5369" width="15.7109375" style="1" customWidth="1"/>
    <col min="5370" max="5370" width="17.28515625" style="1" customWidth="1"/>
    <col min="5371" max="5371" width="16.85546875" style="1" customWidth="1"/>
    <col min="5372" max="5375" width="9.28515625" style="1" customWidth="1"/>
    <col min="5376" max="5376" width="16.7109375" style="1" customWidth="1"/>
    <col min="5377" max="5378" width="19.28515625" style="1" bestFit="1" customWidth="1"/>
    <col min="5379" max="5380" width="9.140625" style="1"/>
    <col min="5381" max="5382" width="14.7109375" style="1" bestFit="1" customWidth="1"/>
    <col min="5383" max="5607" width="9.140625" style="1"/>
    <col min="5608" max="5608" width="7.5703125" style="1" customWidth="1"/>
    <col min="5609" max="5609" width="34.42578125" style="1" customWidth="1"/>
    <col min="5610" max="5610" width="0" style="1" hidden="1" customWidth="1"/>
    <col min="5611" max="5617" width="17.140625" style="1" customWidth="1"/>
    <col min="5618" max="5619" width="24.42578125" style="1" customWidth="1"/>
    <col min="5620" max="5620" width="15.5703125" style="1" customWidth="1"/>
    <col min="5621" max="5621" width="15.7109375" style="1" customWidth="1"/>
    <col min="5622" max="5622" width="17.85546875" style="1" customWidth="1"/>
    <col min="5623" max="5623" width="14.7109375" style="1" customWidth="1"/>
    <col min="5624" max="5624" width="16.42578125" style="1" customWidth="1"/>
    <col min="5625" max="5625" width="15.7109375" style="1" customWidth="1"/>
    <col min="5626" max="5626" width="17.28515625" style="1" customWidth="1"/>
    <col min="5627" max="5627" width="16.85546875" style="1" customWidth="1"/>
    <col min="5628" max="5631" width="9.28515625" style="1" customWidth="1"/>
    <col min="5632" max="5632" width="16.7109375" style="1" customWidth="1"/>
    <col min="5633" max="5634" width="19.28515625" style="1" bestFit="1" customWidth="1"/>
    <col min="5635" max="5636" width="9.140625" style="1"/>
    <col min="5637" max="5638" width="14.7109375" style="1" bestFit="1" customWidth="1"/>
    <col min="5639" max="5863" width="9.140625" style="1"/>
    <col min="5864" max="5864" width="7.5703125" style="1" customWidth="1"/>
    <col min="5865" max="5865" width="34.42578125" style="1" customWidth="1"/>
    <col min="5866" max="5866" width="0" style="1" hidden="1" customWidth="1"/>
    <col min="5867" max="5873" width="17.140625" style="1" customWidth="1"/>
    <col min="5874" max="5875" width="24.42578125" style="1" customWidth="1"/>
    <col min="5876" max="5876" width="15.5703125" style="1" customWidth="1"/>
    <col min="5877" max="5877" width="15.7109375" style="1" customWidth="1"/>
    <col min="5878" max="5878" width="17.85546875" style="1" customWidth="1"/>
    <col min="5879" max="5879" width="14.7109375" style="1" customWidth="1"/>
    <col min="5880" max="5880" width="16.42578125" style="1" customWidth="1"/>
    <col min="5881" max="5881" width="15.7109375" style="1" customWidth="1"/>
    <col min="5882" max="5882" width="17.28515625" style="1" customWidth="1"/>
    <col min="5883" max="5883" width="16.85546875" style="1" customWidth="1"/>
    <col min="5884" max="5887" width="9.28515625" style="1" customWidth="1"/>
    <col min="5888" max="5888" width="16.7109375" style="1" customWidth="1"/>
    <col min="5889" max="5890" width="19.28515625" style="1" bestFit="1" customWidth="1"/>
    <col min="5891" max="5892" width="9.140625" style="1"/>
    <col min="5893" max="5894" width="14.7109375" style="1" bestFit="1" customWidth="1"/>
    <col min="5895" max="6119" width="9.140625" style="1"/>
    <col min="6120" max="6120" width="7.5703125" style="1" customWidth="1"/>
    <col min="6121" max="6121" width="34.42578125" style="1" customWidth="1"/>
    <col min="6122" max="6122" width="0" style="1" hidden="1" customWidth="1"/>
    <col min="6123" max="6129" width="17.140625" style="1" customWidth="1"/>
    <col min="6130" max="6131" width="24.42578125" style="1" customWidth="1"/>
    <col min="6132" max="6132" width="15.5703125" style="1" customWidth="1"/>
    <col min="6133" max="6133" width="15.7109375" style="1" customWidth="1"/>
    <col min="6134" max="6134" width="17.85546875" style="1" customWidth="1"/>
    <col min="6135" max="6135" width="14.7109375" style="1" customWidth="1"/>
    <col min="6136" max="6136" width="16.42578125" style="1" customWidth="1"/>
    <col min="6137" max="6137" width="15.7109375" style="1" customWidth="1"/>
    <col min="6138" max="6138" width="17.28515625" style="1" customWidth="1"/>
    <col min="6139" max="6139" width="16.85546875" style="1" customWidth="1"/>
    <col min="6140" max="6143" width="9.28515625" style="1" customWidth="1"/>
    <col min="6144" max="6144" width="16.7109375" style="1" customWidth="1"/>
    <col min="6145" max="6146" width="19.28515625" style="1" bestFit="1" customWidth="1"/>
    <col min="6147" max="6148" width="9.140625" style="1"/>
    <col min="6149" max="6150" width="14.7109375" style="1" bestFit="1" customWidth="1"/>
    <col min="6151" max="6375" width="9.140625" style="1"/>
    <col min="6376" max="6376" width="7.5703125" style="1" customWidth="1"/>
    <col min="6377" max="6377" width="34.42578125" style="1" customWidth="1"/>
    <col min="6378" max="6378" width="0" style="1" hidden="1" customWidth="1"/>
    <col min="6379" max="6385" width="17.140625" style="1" customWidth="1"/>
    <col min="6386" max="6387" width="24.42578125" style="1" customWidth="1"/>
    <col min="6388" max="6388" width="15.5703125" style="1" customWidth="1"/>
    <col min="6389" max="6389" width="15.7109375" style="1" customWidth="1"/>
    <col min="6390" max="6390" width="17.85546875" style="1" customWidth="1"/>
    <col min="6391" max="6391" width="14.7109375" style="1" customWidth="1"/>
    <col min="6392" max="6392" width="16.42578125" style="1" customWidth="1"/>
    <col min="6393" max="6393" width="15.7109375" style="1" customWidth="1"/>
    <col min="6394" max="6394" width="17.28515625" style="1" customWidth="1"/>
    <col min="6395" max="6395" width="16.85546875" style="1" customWidth="1"/>
    <col min="6396" max="6399" width="9.28515625" style="1" customWidth="1"/>
    <col min="6400" max="6400" width="16.7109375" style="1" customWidth="1"/>
    <col min="6401" max="6402" width="19.28515625" style="1" bestFit="1" customWidth="1"/>
    <col min="6403" max="6404" width="9.140625" style="1"/>
    <col min="6405" max="6406" width="14.7109375" style="1" bestFit="1" customWidth="1"/>
    <col min="6407" max="6631" width="9.140625" style="1"/>
    <col min="6632" max="6632" width="7.5703125" style="1" customWidth="1"/>
    <col min="6633" max="6633" width="34.42578125" style="1" customWidth="1"/>
    <col min="6634" max="6634" width="0" style="1" hidden="1" customWidth="1"/>
    <col min="6635" max="6641" width="17.140625" style="1" customWidth="1"/>
    <col min="6642" max="6643" width="24.42578125" style="1" customWidth="1"/>
    <col min="6644" max="6644" width="15.5703125" style="1" customWidth="1"/>
    <col min="6645" max="6645" width="15.7109375" style="1" customWidth="1"/>
    <col min="6646" max="6646" width="17.85546875" style="1" customWidth="1"/>
    <col min="6647" max="6647" width="14.7109375" style="1" customWidth="1"/>
    <col min="6648" max="6648" width="16.42578125" style="1" customWidth="1"/>
    <col min="6649" max="6649" width="15.7109375" style="1" customWidth="1"/>
    <col min="6650" max="6650" width="17.28515625" style="1" customWidth="1"/>
    <col min="6651" max="6651" width="16.85546875" style="1" customWidth="1"/>
    <col min="6652" max="6655" width="9.28515625" style="1" customWidth="1"/>
    <col min="6656" max="6656" width="16.7109375" style="1" customWidth="1"/>
    <col min="6657" max="6658" width="19.28515625" style="1" bestFit="1" customWidth="1"/>
    <col min="6659" max="6660" width="9.140625" style="1"/>
    <col min="6661" max="6662" width="14.7109375" style="1" bestFit="1" customWidth="1"/>
    <col min="6663" max="6887" width="9.140625" style="1"/>
    <col min="6888" max="6888" width="7.5703125" style="1" customWidth="1"/>
    <col min="6889" max="6889" width="34.42578125" style="1" customWidth="1"/>
    <col min="6890" max="6890" width="0" style="1" hidden="1" customWidth="1"/>
    <col min="6891" max="6897" width="17.140625" style="1" customWidth="1"/>
    <col min="6898" max="6899" width="24.42578125" style="1" customWidth="1"/>
    <col min="6900" max="6900" width="15.5703125" style="1" customWidth="1"/>
    <col min="6901" max="6901" width="15.7109375" style="1" customWidth="1"/>
    <col min="6902" max="6902" width="17.85546875" style="1" customWidth="1"/>
    <col min="6903" max="6903" width="14.7109375" style="1" customWidth="1"/>
    <col min="6904" max="6904" width="16.42578125" style="1" customWidth="1"/>
    <col min="6905" max="6905" width="15.7109375" style="1" customWidth="1"/>
    <col min="6906" max="6906" width="17.28515625" style="1" customWidth="1"/>
    <col min="6907" max="6907" width="16.85546875" style="1" customWidth="1"/>
    <col min="6908" max="6911" width="9.28515625" style="1" customWidth="1"/>
    <col min="6912" max="6912" width="16.7109375" style="1" customWidth="1"/>
    <col min="6913" max="6914" width="19.28515625" style="1" bestFit="1" customWidth="1"/>
    <col min="6915" max="6916" width="9.140625" style="1"/>
    <col min="6917" max="6918" width="14.7109375" style="1" bestFit="1" customWidth="1"/>
    <col min="6919" max="7143" width="9.140625" style="1"/>
    <col min="7144" max="7144" width="7.5703125" style="1" customWidth="1"/>
    <col min="7145" max="7145" width="34.42578125" style="1" customWidth="1"/>
    <col min="7146" max="7146" width="0" style="1" hidden="1" customWidth="1"/>
    <col min="7147" max="7153" width="17.140625" style="1" customWidth="1"/>
    <col min="7154" max="7155" width="24.42578125" style="1" customWidth="1"/>
    <col min="7156" max="7156" width="15.5703125" style="1" customWidth="1"/>
    <col min="7157" max="7157" width="15.7109375" style="1" customWidth="1"/>
    <col min="7158" max="7158" width="17.85546875" style="1" customWidth="1"/>
    <col min="7159" max="7159" width="14.7109375" style="1" customWidth="1"/>
    <col min="7160" max="7160" width="16.42578125" style="1" customWidth="1"/>
    <col min="7161" max="7161" width="15.7109375" style="1" customWidth="1"/>
    <col min="7162" max="7162" width="17.28515625" style="1" customWidth="1"/>
    <col min="7163" max="7163" width="16.85546875" style="1" customWidth="1"/>
    <col min="7164" max="7167" width="9.28515625" style="1" customWidth="1"/>
    <col min="7168" max="7168" width="16.7109375" style="1" customWidth="1"/>
    <col min="7169" max="7170" width="19.28515625" style="1" bestFit="1" customWidth="1"/>
    <col min="7171" max="7172" width="9.140625" style="1"/>
    <col min="7173" max="7174" width="14.7109375" style="1" bestFit="1" customWidth="1"/>
    <col min="7175" max="7399" width="9.140625" style="1"/>
    <col min="7400" max="7400" width="7.5703125" style="1" customWidth="1"/>
    <col min="7401" max="7401" width="34.42578125" style="1" customWidth="1"/>
    <col min="7402" max="7402" width="0" style="1" hidden="1" customWidth="1"/>
    <col min="7403" max="7409" width="17.140625" style="1" customWidth="1"/>
    <col min="7410" max="7411" width="24.42578125" style="1" customWidth="1"/>
    <col min="7412" max="7412" width="15.5703125" style="1" customWidth="1"/>
    <col min="7413" max="7413" width="15.7109375" style="1" customWidth="1"/>
    <col min="7414" max="7414" width="17.85546875" style="1" customWidth="1"/>
    <col min="7415" max="7415" width="14.7109375" style="1" customWidth="1"/>
    <col min="7416" max="7416" width="16.42578125" style="1" customWidth="1"/>
    <col min="7417" max="7417" width="15.7109375" style="1" customWidth="1"/>
    <col min="7418" max="7418" width="17.28515625" style="1" customWidth="1"/>
    <col min="7419" max="7419" width="16.85546875" style="1" customWidth="1"/>
    <col min="7420" max="7423" width="9.28515625" style="1" customWidth="1"/>
    <col min="7424" max="7424" width="16.7109375" style="1" customWidth="1"/>
    <col min="7425" max="7426" width="19.28515625" style="1" bestFit="1" customWidth="1"/>
    <col min="7427" max="7428" width="9.140625" style="1"/>
    <col min="7429" max="7430" width="14.7109375" style="1" bestFit="1" customWidth="1"/>
    <col min="7431" max="7655" width="9.140625" style="1"/>
    <col min="7656" max="7656" width="7.5703125" style="1" customWidth="1"/>
    <col min="7657" max="7657" width="34.42578125" style="1" customWidth="1"/>
    <col min="7658" max="7658" width="0" style="1" hidden="1" customWidth="1"/>
    <col min="7659" max="7665" width="17.140625" style="1" customWidth="1"/>
    <col min="7666" max="7667" width="24.42578125" style="1" customWidth="1"/>
    <col min="7668" max="7668" width="15.5703125" style="1" customWidth="1"/>
    <col min="7669" max="7669" width="15.7109375" style="1" customWidth="1"/>
    <col min="7670" max="7670" width="17.85546875" style="1" customWidth="1"/>
    <col min="7671" max="7671" width="14.7109375" style="1" customWidth="1"/>
    <col min="7672" max="7672" width="16.42578125" style="1" customWidth="1"/>
    <col min="7673" max="7673" width="15.7109375" style="1" customWidth="1"/>
    <col min="7674" max="7674" width="17.28515625" style="1" customWidth="1"/>
    <col min="7675" max="7675" width="16.85546875" style="1" customWidth="1"/>
    <col min="7676" max="7679" width="9.28515625" style="1" customWidth="1"/>
    <col min="7680" max="7680" width="16.7109375" style="1" customWidth="1"/>
    <col min="7681" max="7682" width="19.28515625" style="1" bestFit="1" customWidth="1"/>
    <col min="7683" max="7684" width="9.140625" style="1"/>
    <col min="7685" max="7686" width="14.7109375" style="1" bestFit="1" customWidth="1"/>
    <col min="7687" max="7911" width="9.140625" style="1"/>
    <col min="7912" max="7912" width="7.5703125" style="1" customWidth="1"/>
    <col min="7913" max="7913" width="34.42578125" style="1" customWidth="1"/>
    <col min="7914" max="7914" width="0" style="1" hidden="1" customWidth="1"/>
    <col min="7915" max="7921" width="17.140625" style="1" customWidth="1"/>
    <col min="7922" max="7923" width="24.42578125" style="1" customWidth="1"/>
    <col min="7924" max="7924" width="15.5703125" style="1" customWidth="1"/>
    <col min="7925" max="7925" width="15.7109375" style="1" customWidth="1"/>
    <col min="7926" max="7926" width="17.85546875" style="1" customWidth="1"/>
    <col min="7927" max="7927" width="14.7109375" style="1" customWidth="1"/>
    <col min="7928" max="7928" width="16.42578125" style="1" customWidth="1"/>
    <col min="7929" max="7929" width="15.7109375" style="1" customWidth="1"/>
    <col min="7930" max="7930" width="17.28515625" style="1" customWidth="1"/>
    <col min="7931" max="7931" width="16.85546875" style="1" customWidth="1"/>
    <col min="7932" max="7935" width="9.28515625" style="1" customWidth="1"/>
    <col min="7936" max="7936" width="16.7109375" style="1" customWidth="1"/>
    <col min="7937" max="7938" width="19.28515625" style="1" bestFit="1" customWidth="1"/>
    <col min="7939" max="7940" width="9.140625" style="1"/>
    <col min="7941" max="7942" width="14.7109375" style="1" bestFit="1" customWidth="1"/>
    <col min="7943" max="8167" width="9.140625" style="1"/>
    <col min="8168" max="8168" width="7.5703125" style="1" customWidth="1"/>
    <col min="8169" max="8169" width="34.42578125" style="1" customWidth="1"/>
    <col min="8170" max="8170" width="0" style="1" hidden="1" customWidth="1"/>
    <col min="8171" max="8177" width="17.140625" style="1" customWidth="1"/>
    <col min="8178" max="8179" width="24.42578125" style="1" customWidth="1"/>
    <col min="8180" max="8180" width="15.5703125" style="1" customWidth="1"/>
    <col min="8181" max="8181" width="15.7109375" style="1" customWidth="1"/>
    <col min="8182" max="8182" width="17.85546875" style="1" customWidth="1"/>
    <col min="8183" max="8183" width="14.7109375" style="1" customWidth="1"/>
    <col min="8184" max="8184" width="16.42578125" style="1" customWidth="1"/>
    <col min="8185" max="8185" width="15.7109375" style="1" customWidth="1"/>
    <col min="8186" max="8186" width="17.28515625" style="1" customWidth="1"/>
    <col min="8187" max="8187" width="16.85546875" style="1" customWidth="1"/>
    <col min="8188" max="8191" width="9.28515625" style="1" customWidth="1"/>
    <col min="8192" max="8192" width="16.7109375" style="1" customWidth="1"/>
    <col min="8193" max="8194" width="19.28515625" style="1" bestFit="1" customWidth="1"/>
    <col min="8195" max="8196" width="9.140625" style="1"/>
    <col min="8197" max="8198" width="14.7109375" style="1" bestFit="1" customWidth="1"/>
    <col min="8199" max="8423" width="9.140625" style="1"/>
    <col min="8424" max="8424" width="7.5703125" style="1" customWidth="1"/>
    <col min="8425" max="8425" width="34.42578125" style="1" customWidth="1"/>
    <col min="8426" max="8426" width="0" style="1" hidden="1" customWidth="1"/>
    <col min="8427" max="8433" width="17.140625" style="1" customWidth="1"/>
    <col min="8434" max="8435" width="24.42578125" style="1" customWidth="1"/>
    <col min="8436" max="8436" width="15.5703125" style="1" customWidth="1"/>
    <col min="8437" max="8437" width="15.7109375" style="1" customWidth="1"/>
    <col min="8438" max="8438" width="17.85546875" style="1" customWidth="1"/>
    <col min="8439" max="8439" width="14.7109375" style="1" customWidth="1"/>
    <col min="8440" max="8440" width="16.42578125" style="1" customWidth="1"/>
    <col min="8441" max="8441" width="15.7109375" style="1" customWidth="1"/>
    <col min="8442" max="8442" width="17.28515625" style="1" customWidth="1"/>
    <col min="8443" max="8443" width="16.85546875" style="1" customWidth="1"/>
    <col min="8444" max="8447" width="9.28515625" style="1" customWidth="1"/>
    <col min="8448" max="8448" width="16.7109375" style="1" customWidth="1"/>
    <col min="8449" max="8450" width="19.28515625" style="1" bestFit="1" customWidth="1"/>
    <col min="8451" max="8452" width="9.140625" style="1"/>
    <col min="8453" max="8454" width="14.7109375" style="1" bestFit="1" customWidth="1"/>
    <col min="8455" max="8679" width="9.140625" style="1"/>
    <col min="8680" max="8680" width="7.5703125" style="1" customWidth="1"/>
    <col min="8681" max="8681" width="34.42578125" style="1" customWidth="1"/>
    <col min="8682" max="8682" width="0" style="1" hidden="1" customWidth="1"/>
    <col min="8683" max="8689" width="17.140625" style="1" customWidth="1"/>
    <col min="8690" max="8691" width="24.42578125" style="1" customWidth="1"/>
    <col min="8692" max="8692" width="15.5703125" style="1" customWidth="1"/>
    <col min="8693" max="8693" width="15.7109375" style="1" customWidth="1"/>
    <col min="8694" max="8694" width="17.85546875" style="1" customWidth="1"/>
    <col min="8695" max="8695" width="14.7109375" style="1" customWidth="1"/>
    <col min="8696" max="8696" width="16.42578125" style="1" customWidth="1"/>
    <col min="8697" max="8697" width="15.7109375" style="1" customWidth="1"/>
    <col min="8698" max="8698" width="17.28515625" style="1" customWidth="1"/>
    <col min="8699" max="8699" width="16.85546875" style="1" customWidth="1"/>
    <col min="8700" max="8703" width="9.28515625" style="1" customWidth="1"/>
    <col min="8704" max="8704" width="16.7109375" style="1" customWidth="1"/>
    <col min="8705" max="8706" width="19.28515625" style="1" bestFit="1" customWidth="1"/>
    <col min="8707" max="8708" width="9.140625" style="1"/>
    <col min="8709" max="8710" width="14.7109375" style="1" bestFit="1" customWidth="1"/>
    <col min="8711" max="8935" width="9.140625" style="1"/>
    <col min="8936" max="8936" width="7.5703125" style="1" customWidth="1"/>
    <col min="8937" max="8937" width="34.42578125" style="1" customWidth="1"/>
    <col min="8938" max="8938" width="0" style="1" hidden="1" customWidth="1"/>
    <col min="8939" max="8945" width="17.140625" style="1" customWidth="1"/>
    <col min="8946" max="8947" width="24.42578125" style="1" customWidth="1"/>
    <col min="8948" max="8948" width="15.5703125" style="1" customWidth="1"/>
    <col min="8949" max="8949" width="15.7109375" style="1" customWidth="1"/>
    <col min="8950" max="8950" width="17.85546875" style="1" customWidth="1"/>
    <col min="8951" max="8951" width="14.7109375" style="1" customWidth="1"/>
    <col min="8952" max="8952" width="16.42578125" style="1" customWidth="1"/>
    <col min="8953" max="8953" width="15.7109375" style="1" customWidth="1"/>
    <col min="8954" max="8954" width="17.28515625" style="1" customWidth="1"/>
    <col min="8955" max="8955" width="16.85546875" style="1" customWidth="1"/>
    <col min="8956" max="8959" width="9.28515625" style="1" customWidth="1"/>
    <col min="8960" max="8960" width="16.7109375" style="1" customWidth="1"/>
    <col min="8961" max="8962" width="19.28515625" style="1" bestFit="1" customWidth="1"/>
    <col min="8963" max="8964" width="9.140625" style="1"/>
    <col min="8965" max="8966" width="14.7109375" style="1" bestFit="1" customWidth="1"/>
    <col min="8967" max="9191" width="9.140625" style="1"/>
    <col min="9192" max="9192" width="7.5703125" style="1" customWidth="1"/>
    <col min="9193" max="9193" width="34.42578125" style="1" customWidth="1"/>
    <col min="9194" max="9194" width="0" style="1" hidden="1" customWidth="1"/>
    <col min="9195" max="9201" width="17.140625" style="1" customWidth="1"/>
    <col min="9202" max="9203" width="24.42578125" style="1" customWidth="1"/>
    <col min="9204" max="9204" width="15.5703125" style="1" customWidth="1"/>
    <col min="9205" max="9205" width="15.7109375" style="1" customWidth="1"/>
    <col min="9206" max="9206" width="17.85546875" style="1" customWidth="1"/>
    <col min="9207" max="9207" width="14.7109375" style="1" customWidth="1"/>
    <col min="9208" max="9208" width="16.42578125" style="1" customWidth="1"/>
    <col min="9209" max="9209" width="15.7109375" style="1" customWidth="1"/>
    <col min="9210" max="9210" width="17.28515625" style="1" customWidth="1"/>
    <col min="9211" max="9211" width="16.85546875" style="1" customWidth="1"/>
    <col min="9212" max="9215" width="9.28515625" style="1" customWidth="1"/>
    <col min="9216" max="9216" width="16.7109375" style="1" customWidth="1"/>
    <col min="9217" max="9218" width="19.28515625" style="1" bestFit="1" customWidth="1"/>
    <col min="9219" max="9220" width="9.140625" style="1"/>
    <col min="9221" max="9222" width="14.7109375" style="1" bestFit="1" customWidth="1"/>
    <col min="9223" max="9447" width="9.140625" style="1"/>
    <col min="9448" max="9448" width="7.5703125" style="1" customWidth="1"/>
    <col min="9449" max="9449" width="34.42578125" style="1" customWidth="1"/>
    <col min="9450" max="9450" width="0" style="1" hidden="1" customWidth="1"/>
    <col min="9451" max="9457" width="17.140625" style="1" customWidth="1"/>
    <col min="9458" max="9459" width="24.42578125" style="1" customWidth="1"/>
    <col min="9460" max="9460" width="15.5703125" style="1" customWidth="1"/>
    <col min="9461" max="9461" width="15.7109375" style="1" customWidth="1"/>
    <col min="9462" max="9462" width="17.85546875" style="1" customWidth="1"/>
    <col min="9463" max="9463" width="14.7109375" style="1" customWidth="1"/>
    <col min="9464" max="9464" width="16.42578125" style="1" customWidth="1"/>
    <col min="9465" max="9465" width="15.7109375" style="1" customWidth="1"/>
    <col min="9466" max="9466" width="17.28515625" style="1" customWidth="1"/>
    <col min="9467" max="9467" width="16.85546875" style="1" customWidth="1"/>
    <col min="9468" max="9471" width="9.28515625" style="1" customWidth="1"/>
    <col min="9472" max="9472" width="16.7109375" style="1" customWidth="1"/>
    <col min="9473" max="9474" width="19.28515625" style="1" bestFit="1" customWidth="1"/>
    <col min="9475" max="9476" width="9.140625" style="1"/>
    <col min="9477" max="9478" width="14.7109375" style="1" bestFit="1" customWidth="1"/>
    <col min="9479" max="9703" width="9.140625" style="1"/>
    <col min="9704" max="9704" width="7.5703125" style="1" customWidth="1"/>
    <col min="9705" max="9705" width="34.42578125" style="1" customWidth="1"/>
    <col min="9706" max="9706" width="0" style="1" hidden="1" customWidth="1"/>
    <col min="9707" max="9713" width="17.140625" style="1" customWidth="1"/>
    <col min="9714" max="9715" width="24.42578125" style="1" customWidth="1"/>
    <col min="9716" max="9716" width="15.5703125" style="1" customWidth="1"/>
    <col min="9717" max="9717" width="15.7109375" style="1" customWidth="1"/>
    <col min="9718" max="9718" width="17.85546875" style="1" customWidth="1"/>
    <col min="9719" max="9719" width="14.7109375" style="1" customWidth="1"/>
    <col min="9720" max="9720" width="16.42578125" style="1" customWidth="1"/>
    <col min="9721" max="9721" width="15.7109375" style="1" customWidth="1"/>
    <col min="9722" max="9722" width="17.28515625" style="1" customWidth="1"/>
    <col min="9723" max="9723" width="16.85546875" style="1" customWidth="1"/>
    <col min="9724" max="9727" width="9.28515625" style="1" customWidth="1"/>
    <col min="9728" max="9728" width="16.7109375" style="1" customWidth="1"/>
    <col min="9729" max="9730" width="19.28515625" style="1" bestFit="1" customWidth="1"/>
    <col min="9731" max="9732" width="9.140625" style="1"/>
    <col min="9733" max="9734" width="14.7109375" style="1" bestFit="1" customWidth="1"/>
    <col min="9735" max="9959" width="9.140625" style="1"/>
    <col min="9960" max="9960" width="7.5703125" style="1" customWidth="1"/>
    <col min="9961" max="9961" width="34.42578125" style="1" customWidth="1"/>
    <col min="9962" max="9962" width="0" style="1" hidden="1" customWidth="1"/>
    <col min="9963" max="9969" width="17.140625" style="1" customWidth="1"/>
    <col min="9970" max="9971" width="24.42578125" style="1" customWidth="1"/>
    <col min="9972" max="9972" width="15.5703125" style="1" customWidth="1"/>
    <col min="9973" max="9973" width="15.7109375" style="1" customWidth="1"/>
    <col min="9974" max="9974" width="17.85546875" style="1" customWidth="1"/>
    <col min="9975" max="9975" width="14.7109375" style="1" customWidth="1"/>
    <col min="9976" max="9976" width="16.42578125" style="1" customWidth="1"/>
    <col min="9977" max="9977" width="15.7109375" style="1" customWidth="1"/>
    <col min="9978" max="9978" width="17.28515625" style="1" customWidth="1"/>
    <col min="9979" max="9979" width="16.85546875" style="1" customWidth="1"/>
    <col min="9980" max="9983" width="9.28515625" style="1" customWidth="1"/>
    <col min="9984" max="9984" width="16.7109375" style="1" customWidth="1"/>
    <col min="9985" max="9986" width="19.28515625" style="1" bestFit="1" customWidth="1"/>
    <col min="9987" max="9988" width="9.140625" style="1"/>
    <col min="9989" max="9990" width="14.7109375" style="1" bestFit="1" customWidth="1"/>
    <col min="9991" max="10215" width="9.140625" style="1"/>
    <col min="10216" max="10216" width="7.5703125" style="1" customWidth="1"/>
    <col min="10217" max="10217" width="34.42578125" style="1" customWidth="1"/>
    <col min="10218" max="10218" width="0" style="1" hidden="1" customWidth="1"/>
    <col min="10219" max="10225" width="17.140625" style="1" customWidth="1"/>
    <col min="10226" max="10227" width="24.42578125" style="1" customWidth="1"/>
    <col min="10228" max="10228" width="15.5703125" style="1" customWidth="1"/>
    <col min="10229" max="10229" width="15.7109375" style="1" customWidth="1"/>
    <col min="10230" max="10230" width="17.85546875" style="1" customWidth="1"/>
    <col min="10231" max="10231" width="14.7109375" style="1" customWidth="1"/>
    <col min="10232" max="10232" width="16.42578125" style="1" customWidth="1"/>
    <col min="10233" max="10233" width="15.7109375" style="1" customWidth="1"/>
    <col min="10234" max="10234" width="17.28515625" style="1" customWidth="1"/>
    <col min="10235" max="10235" width="16.85546875" style="1" customWidth="1"/>
    <col min="10236" max="10239" width="9.28515625" style="1" customWidth="1"/>
    <col min="10240" max="10240" width="16.7109375" style="1" customWidth="1"/>
    <col min="10241" max="10242" width="19.28515625" style="1" bestFit="1" customWidth="1"/>
    <col min="10243" max="10244" width="9.140625" style="1"/>
    <col min="10245" max="10246" width="14.7109375" style="1" bestFit="1" customWidth="1"/>
    <col min="10247" max="10471" width="9.140625" style="1"/>
    <col min="10472" max="10472" width="7.5703125" style="1" customWidth="1"/>
    <col min="10473" max="10473" width="34.42578125" style="1" customWidth="1"/>
    <col min="10474" max="10474" width="0" style="1" hidden="1" customWidth="1"/>
    <col min="10475" max="10481" width="17.140625" style="1" customWidth="1"/>
    <col min="10482" max="10483" width="24.42578125" style="1" customWidth="1"/>
    <col min="10484" max="10484" width="15.5703125" style="1" customWidth="1"/>
    <col min="10485" max="10485" width="15.7109375" style="1" customWidth="1"/>
    <col min="10486" max="10486" width="17.85546875" style="1" customWidth="1"/>
    <col min="10487" max="10487" width="14.7109375" style="1" customWidth="1"/>
    <col min="10488" max="10488" width="16.42578125" style="1" customWidth="1"/>
    <col min="10489" max="10489" width="15.7109375" style="1" customWidth="1"/>
    <col min="10490" max="10490" width="17.28515625" style="1" customWidth="1"/>
    <col min="10491" max="10491" width="16.85546875" style="1" customWidth="1"/>
    <col min="10492" max="10495" width="9.28515625" style="1" customWidth="1"/>
    <col min="10496" max="10496" width="16.7109375" style="1" customWidth="1"/>
    <col min="10497" max="10498" width="19.28515625" style="1" bestFit="1" customWidth="1"/>
    <col min="10499" max="10500" width="9.140625" style="1"/>
    <col min="10501" max="10502" width="14.7109375" style="1" bestFit="1" customWidth="1"/>
    <col min="10503" max="10727" width="9.140625" style="1"/>
    <col min="10728" max="10728" width="7.5703125" style="1" customWidth="1"/>
    <col min="10729" max="10729" width="34.42578125" style="1" customWidth="1"/>
    <col min="10730" max="10730" width="0" style="1" hidden="1" customWidth="1"/>
    <col min="10731" max="10737" width="17.140625" style="1" customWidth="1"/>
    <col min="10738" max="10739" width="24.42578125" style="1" customWidth="1"/>
    <col min="10740" max="10740" width="15.5703125" style="1" customWidth="1"/>
    <col min="10741" max="10741" width="15.7109375" style="1" customWidth="1"/>
    <col min="10742" max="10742" width="17.85546875" style="1" customWidth="1"/>
    <col min="10743" max="10743" width="14.7109375" style="1" customWidth="1"/>
    <col min="10744" max="10744" width="16.42578125" style="1" customWidth="1"/>
    <col min="10745" max="10745" width="15.7109375" style="1" customWidth="1"/>
    <col min="10746" max="10746" width="17.28515625" style="1" customWidth="1"/>
    <col min="10747" max="10747" width="16.85546875" style="1" customWidth="1"/>
    <col min="10748" max="10751" width="9.28515625" style="1" customWidth="1"/>
    <col min="10752" max="10752" width="16.7109375" style="1" customWidth="1"/>
    <col min="10753" max="10754" width="19.28515625" style="1" bestFit="1" customWidth="1"/>
    <col min="10755" max="10756" width="9.140625" style="1"/>
    <col min="10757" max="10758" width="14.7109375" style="1" bestFit="1" customWidth="1"/>
    <col min="10759" max="10983" width="9.140625" style="1"/>
    <col min="10984" max="10984" width="7.5703125" style="1" customWidth="1"/>
    <col min="10985" max="10985" width="34.42578125" style="1" customWidth="1"/>
    <col min="10986" max="10986" width="0" style="1" hidden="1" customWidth="1"/>
    <col min="10987" max="10993" width="17.140625" style="1" customWidth="1"/>
    <col min="10994" max="10995" width="24.42578125" style="1" customWidth="1"/>
    <col min="10996" max="10996" width="15.5703125" style="1" customWidth="1"/>
    <col min="10997" max="10997" width="15.7109375" style="1" customWidth="1"/>
    <col min="10998" max="10998" width="17.85546875" style="1" customWidth="1"/>
    <col min="10999" max="10999" width="14.7109375" style="1" customWidth="1"/>
    <col min="11000" max="11000" width="16.42578125" style="1" customWidth="1"/>
    <col min="11001" max="11001" width="15.7109375" style="1" customWidth="1"/>
    <col min="11002" max="11002" width="17.28515625" style="1" customWidth="1"/>
    <col min="11003" max="11003" width="16.85546875" style="1" customWidth="1"/>
    <col min="11004" max="11007" width="9.28515625" style="1" customWidth="1"/>
    <col min="11008" max="11008" width="16.7109375" style="1" customWidth="1"/>
    <col min="11009" max="11010" width="19.28515625" style="1" bestFit="1" customWidth="1"/>
    <col min="11011" max="11012" width="9.140625" style="1"/>
    <col min="11013" max="11014" width="14.7109375" style="1" bestFit="1" customWidth="1"/>
    <col min="11015" max="11239" width="9.140625" style="1"/>
    <col min="11240" max="11240" width="7.5703125" style="1" customWidth="1"/>
    <col min="11241" max="11241" width="34.42578125" style="1" customWidth="1"/>
    <col min="11242" max="11242" width="0" style="1" hidden="1" customWidth="1"/>
    <col min="11243" max="11249" width="17.140625" style="1" customWidth="1"/>
    <col min="11250" max="11251" width="24.42578125" style="1" customWidth="1"/>
    <col min="11252" max="11252" width="15.5703125" style="1" customWidth="1"/>
    <col min="11253" max="11253" width="15.7109375" style="1" customWidth="1"/>
    <col min="11254" max="11254" width="17.85546875" style="1" customWidth="1"/>
    <col min="11255" max="11255" width="14.7109375" style="1" customWidth="1"/>
    <col min="11256" max="11256" width="16.42578125" style="1" customWidth="1"/>
    <col min="11257" max="11257" width="15.7109375" style="1" customWidth="1"/>
    <col min="11258" max="11258" width="17.28515625" style="1" customWidth="1"/>
    <col min="11259" max="11259" width="16.85546875" style="1" customWidth="1"/>
    <col min="11260" max="11263" width="9.28515625" style="1" customWidth="1"/>
    <col min="11264" max="11264" width="16.7109375" style="1" customWidth="1"/>
    <col min="11265" max="11266" width="19.28515625" style="1" bestFit="1" customWidth="1"/>
    <col min="11267" max="11268" width="9.140625" style="1"/>
    <col min="11269" max="11270" width="14.7109375" style="1" bestFit="1" customWidth="1"/>
    <col min="11271" max="11495" width="9.140625" style="1"/>
    <col min="11496" max="11496" width="7.5703125" style="1" customWidth="1"/>
    <col min="11497" max="11497" width="34.42578125" style="1" customWidth="1"/>
    <col min="11498" max="11498" width="0" style="1" hidden="1" customWidth="1"/>
    <col min="11499" max="11505" width="17.140625" style="1" customWidth="1"/>
    <col min="11506" max="11507" width="24.42578125" style="1" customWidth="1"/>
    <col min="11508" max="11508" width="15.5703125" style="1" customWidth="1"/>
    <col min="11509" max="11509" width="15.7109375" style="1" customWidth="1"/>
    <col min="11510" max="11510" width="17.85546875" style="1" customWidth="1"/>
    <col min="11511" max="11511" width="14.7109375" style="1" customWidth="1"/>
    <col min="11512" max="11512" width="16.42578125" style="1" customWidth="1"/>
    <col min="11513" max="11513" width="15.7109375" style="1" customWidth="1"/>
    <col min="11514" max="11514" width="17.28515625" style="1" customWidth="1"/>
    <col min="11515" max="11515" width="16.85546875" style="1" customWidth="1"/>
    <col min="11516" max="11519" width="9.28515625" style="1" customWidth="1"/>
    <col min="11520" max="11520" width="16.7109375" style="1" customWidth="1"/>
    <col min="11521" max="11522" width="19.28515625" style="1" bestFit="1" customWidth="1"/>
    <col min="11523" max="11524" width="9.140625" style="1"/>
    <col min="11525" max="11526" width="14.7109375" style="1" bestFit="1" customWidth="1"/>
    <col min="11527" max="11751" width="9.140625" style="1"/>
    <col min="11752" max="11752" width="7.5703125" style="1" customWidth="1"/>
    <col min="11753" max="11753" width="34.42578125" style="1" customWidth="1"/>
    <col min="11754" max="11754" width="0" style="1" hidden="1" customWidth="1"/>
    <col min="11755" max="11761" width="17.140625" style="1" customWidth="1"/>
    <col min="11762" max="11763" width="24.42578125" style="1" customWidth="1"/>
    <col min="11764" max="11764" width="15.5703125" style="1" customWidth="1"/>
    <col min="11765" max="11765" width="15.7109375" style="1" customWidth="1"/>
    <col min="11766" max="11766" width="17.85546875" style="1" customWidth="1"/>
    <col min="11767" max="11767" width="14.7109375" style="1" customWidth="1"/>
    <col min="11768" max="11768" width="16.42578125" style="1" customWidth="1"/>
    <col min="11769" max="11769" width="15.7109375" style="1" customWidth="1"/>
    <col min="11770" max="11770" width="17.28515625" style="1" customWidth="1"/>
    <col min="11771" max="11771" width="16.85546875" style="1" customWidth="1"/>
    <col min="11772" max="11775" width="9.28515625" style="1" customWidth="1"/>
    <col min="11776" max="11776" width="16.7109375" style="1" customWidth="1"/>
    <col min="11777" max="11778" width="19.28515625" style="1" bestFit="1" customWidth="1"/>
    <col min="11779" max="11780" width="9.140625" style="1"/>
    <col min="11781" max="11782" width="14.7109375" style="1" bestFit="1" customWidth="1"/>
    <col min="11783" max="12007" width="9.140625" style="1"/>
    <col min="12008" max="12008" width="7.5703125" style="1" customWidth="1"/>
    <col min="12009" max="12009" width="34.42578125" style="1" customWidth="1"/>
    <col min="12010" max="12010" width="0" style="1" hidden="1" customWidth="1"/>
    <col min="12011" max="12017" width="17.140625" style="1" customWidth="1"/>
    <col min="12018" max="12019" width="24.42578125" style="1" customWidth="1"/>
    <col min="12020" max="12020" width="15.5703125" style="1" customWidth="1"/>
    <col min="12021" max="12021" width="15.7109375" style="1" customWidth="1"/>
    <col min="12022" max="12022" width="17.85546875" style="1" customWidth="1"/>
    <col min="12023" max="12023" width="14.7109375" style="1" customWidth="1"/>
    <col min="12024" max="12024" width="16.42578125" style="1" customWidth="1"/>
    <col min="12025" max="12025" width="15.7109375" style="1" customWidth="1"/>
    <col min="12026" max="12026" width="17.28515625" style="1" customWidth="1"/>
    <col min="12027" max="12027" width="16.85546875" style="1" customWidth="1"/>
    <col min="12028" max="12031" width="9.28515625" style="1" customWidth="1"/>
    <col min="12032" max="12032" width="16.7109375" style="1" customWidth="1"/>
    <col min="12033" max="12034" width="19.28515625" style="1" bestFit="1" customWidth="1"/>
    <col min="12035" max="12036" width="9.140625" style="1"/>
    <col min="12037" max="12038" width="14.7109375" style="1" bestFit="1" customWidth="1"/>
    <col min="12039" max="12263" width="9.140625" style="1"/>
    <col min="12264" max="12264" width="7.5703125" style="1" customWidth="1"/>
    <col min="12265" max="12265" width="34.42578125" style="1" customWidth="1"/>
    <col min="12266" max="12266" width="0" style="1" hidden="1" customWidth="1"/>
    <col min="12267" max="12273" width="17.140625" style="1" customWidth="1"/>
    <col min="12274" max="12275" width="24.42578125" style="1" customWidth="1"/>
    <col min="12276" max="12276" width="15.5703125" style="1" customWidth="1"/>
    <col min="12277" max="12277" width="15.7109375" style="1" customWidth="1"/>
    <col min="12278" max="12278" width="17.85546875" style="1" customWidth="1"/>
    <col min="12279" max="12279" width="14.7109375" style="1" customWidth="1"/>
    <col min="12280" max="12280" width="16.42578125" style="1" customWidth="1"/>
    <col min="12281" max="12281" width="15.7109375" style="1" customWidth="1"/>
    <col min="12282" max="12282" width="17.28515625" style="1" customWidth="1"/>
    <col min="12283" max="12283" width="16.85546875" style="1" customWidth="1"/>
    <col min="12284" max="12287" width="9.28515625" style="1" customWidth="1"/>
    <col min="12288" max="12288" width="16.7109375" style="1" customWidth="1"/>
    <col min="12289" max="12290" width="19.28515625" style="1" bestFit="1" customWidth="1"/>
    <col min="12291" max="12292" width="9.140625" style="1"/>
    <col min="12293" max="12294" width="14.7109375" style="1" bestFit="1" customWidth="1"/>
    <col min="12295" max="12519" width="9.140625" style="1"/>
    <col min="12520" max="12520" width="7.5703125" style="1" customWidth="1"/>
    <col min="12521" max="12521" width="34.42578125" style="1" customWidth="1"/>
    <col min="12522" max="12522" width="0" style="1" hidden="1" customWidth="1"/>
    <col min="12523" max="12529" width="17.140625" style="1" customWidth="1"/>
    <col min="12530" max="12531" width="24.42578125" style="1" customWidth="1"/>
    <col min="12532" max="12532" width="15.5703125" style="1" customWidth="1"/>
    <col min="12533" max="12533" width="15.7109375" style="1" customWidth="1"/>
    <col min="12534" max="12534" width="17.85546875" style="1" customWidth="1"/>
    <col min="12535" max="12535" width="14.7109375" style="1" customWidth="1"/>
    <col min="12536" max="12536" width="16.42578125" style="1" customWidth="1"/>
    <col min="12537" max="12537" width="15.7109375" style="1" customWidth="1"/>
    <col min="12538" max="12538" width="17.28515625" style="1" customWidth="1"/>
    <col min="12539" max="12539" width="16.85546875" style="1" customWidth="1"/>
    <col min="12540" max="12543" width="9.28515625" style="1" customWidth="1"/>
    <col min="12544" max="12544" width="16.7109375" style="1" customWidth="1"/>
    <col min="12545" max="12546" width="19.28515625" style="1" bestFit="1" customWidth="1"/>
    <col min="12547" max="12548" width="9.140625" style="1"/>
    <col min="12549" max="12550" width="14.7109375" style="1" bestFit="1" customWidth="1"/>
    <col min="12551" max="12775" width="9.140625" style="1"/>
    <col min="12776" max="12776" width="7.5703125" style="1" customWidth="1"/>
    <col min="12777" max="12777" width="34.42578125" style="1" customWidth="1"/>
    <col min="12778" max="12778" width="0" style="1" hidden="1" customWidth="1"/>
    <col min="12779" max="12785" width="17.140625" style="1" customWidth="1"/>
    <col min="12786" max="12787" width="24.42578125" style="1" customWidth="1"/>
    <col min="12788" max="12788" width="15.5703125" style="1" customWidth="1"/>
    <col min="12789" max="12789" width="15.7109375" style="1" customWidth="1"/>
    <col min="12790" max="12790" width="17.85546875" style="1" customWidth="1"/>
    <col min="12791" max="12791" width="14.7109375" style="1" customWidth="1"/>
    <col min="12792" max="12792" width="16.42578125" style="1" customWidth="1"/>
    <col min="12793" max="12793" width="15.7109375" style="1" customWidth="1"/>
    <col min="12794" max="12794" width="17.28515625" style="1" customWidth="1"/>
    <col min="12795" max="12795" width="16.85546875" style="1" customWidth="1"/>
    <col min="12796" max="12799" width="9.28515625" style="1" customWidth="1"/>
    <col min="12800" max="12800" width="16.7109375" style="1" customWidth="1"/>
    <col min="12801" max="12802" width="19.28515625" style="1" bestFit="1" customWidth="1"/>
    <col min="12803" max="12804" width="9.140625" style="1"/>
    <col min="12805" max="12806" width="14.7109375" style="1" bestFit="1" customWidth="1"/>
    <col min="12807" max="13031" width="9.140625" style="1"/>
    <col min="13032" max="13032" width="7.5703125" style="1" customWidth="1"/>
    <col min="13033" max="13033" width="34.42578125" style="1" customWidth="1"/>
    <col min="13034" max="13034" width="0" style="1" hidden="1" customWidth="1"/>
    <col min="13035" max="13041" width="17.140625" style="1" customWidth="1"/>
    <col min="13042" max="13043" width="24.42578125" style="1" customWidth="1"/>
    <col min="13044" max="13044" width="15.5703125" style="1" customWidth="1"/>
    <col min="13045" max="13045" width="15.7109375" style="1" customWidth="1"/>
    <col min="13046" max="13046" width="17.85546875" style="1" customWidth="1"/>
    <col min="13047" max="13047" width="14.7109375" style="1" customWidth="1"/>
    <col min="13048" max="13048" width="16.42578125" style="1" customWidth="1"/>
    <col min="13049" max="13049" width="15.7109375" style="1" customWidth="1"/>
    <col min="13050" max="13050" width="17.28515625" style="1" customWidth="1"/>
    <col min="13051" max="13051" width="16.85546875" style="1" customWidth="1"/>
    <col min="13052" max="13055" width="9.28515625" style="1" customWidth="1"/>
    <col min="13056" max="13056" width="16.7109375" style="1" customWidth="1"/>
    <col min="13057" max="13058" width="19.28515625" style="1" bestFit="1" customWidth="1"/>
    <col min="13059" max="13060" width="9.140625" style="1"/>
    <col min="13061" max="13062" width="14.7109375" style="1" bestFit="1" customWidth="1"/>
    <col min="13063" max="13287" width="9.140625" style="1"/>
    <col min="13288" max="13288" width="7.5703125" style="1" customWidth="1"/>
    <col min="13289" max="13289" width="34.42578125" style="1" customWidth="1"/>
    <col min="13290" max="13290" width="0" style="1" hidden="1" customWidth="1"/>
    <col min="13291" max="13297" width="17.140625" style="1" customWidth="1"/>
    <col min="13298" max="13299" width="24.42578125" style="1" customWidth="1"/>
    <col min="13300" max="13300" width="15.5703125" style="1" customWidth="1"/>
    <col min="13301" max="13301" width="15.7109375" style="1" customWidth="1"/>
    <col min="13302" max="13302" width="17.85546875" style="1" customWidth="1"/>
    <col min="13303" max="13303" width="14.7109375" style="1" customWidth="1"/>
    <col min="13304" max="13304" width="16.42578125" style="1" customWidth="1"/>
    <col min="13305" max="13305" width="15.7109375" style="1" customWidth="1"/>
    <col min="13306" max="13306" width="17.28515625" style="1" customWidth="1"/>
    <col min="13307" max="13307" width="16.85546875" style="1" customWidth="1"/>
    <col min="13308" max="13311" width="9.28515625" style="1" customWidth="1"/>
    <col min="13312" max="13312" width="16.7109375" style="1" customWidth="1"/>
    <col min="13313" max="13314" width="19.28515625" style="1" bestFit="1" customWidth="1"/>
    <col min="13315" max="13316" width="9.140625" style="1"/>
    <col min="13317" max="13318" width="14.7109375" style="1" bestFit="1" customWidth="1"/>
    <col min="13319" max="13543" width="9.140625" style="1"/>
    <col min="13544" max="13544" width="7.5703125" style="1" customWidth="1"/>
    <col min="13545" max="13545" width="34.42578125" style="1" customWidth="1"/>
    <col min="13546" max="13546" width="0" style="1" hidden="1" customWidth="1"/>
    <col min="13547" max="13553" width="17.140625" style="1" customWidth="1"/>
    <col min="13554" max="13555" width="24.42578125" style="1" customWidth="1"/>
    <col min="13556" max="13556" width="15.5703125" style="1" customWidth="1"/>
    <col min="13557" max="13557" width="15.7109375" style="1" customWidth="1"/>
    <col min="13558" max="13558" width="17.85546875" style="1" customWidth="1"/>
    <col min="13559" max="13559" width="14.7109375" style="1" customWidth="1"/>
    <col min="13560" max="13560" width="16.42578125" style="1" customWidth="1"/>
    <col min="13561" max="13561" width="15.7109375" style="1" customWidth="1"/>
    <col min="13562" max="13562" width="17.28515625" style="1" customWidth="1"/>
    <col min="13563" max="13563" width="16.85546875" style="1" customWidth="1"/>
    <col min="13564" max="13567" width="9.28515625" style="1" customWidth="1"/>
    <col min="13568" max="13568" width="16.7109375" style="1" customWidth="1"/>
    <col min="13569" max="13570" width="19.28515625" style="1" bestFit="1" customWidth="1"/>
    <col min="13571" max="13572" width="9.140625" style="1"/>
    <col min="13573" max="13574" width="14.7109375" style="1" bestFit="1" customWidth="1"/>
    <col min="13575" max="13799" width="9.140625" style="1"/>
    <col min="13800" max="13800" width="7.5703125" style="1" customWidth="1"/>
    <col min="13801" max="13801" width="34.42578125" style="1" customWidth="1"/>
    <col min="13802" max="13802" width="0" style="1" hidden="1" customWidth="1"/>
    <col min="13803" max="13809" width="17.140625" style="1" customWidth="1"/>
    <col min="13810" max="13811" width="24.42578125" style="1" customWidth="1"/>
    <col min="13812" max="13812" width="15.5703125" style="1" customWidth="1"/>
    <col min="13813" max="13813" width="15.7109375" style="1" customWidth="1"/>
    <col min="13814" max="13814" width="17.85546875" style="1" customWidth="1"/>
    <col min="13815" max="13815" width="14.7109375" style="1" customWidth="1"/>
    <col min="13816" max="13816" width="16.42578125" style="1" customWidth="1"/>
    <col min="13817" max="13817" width="15.7109375" style="1" customWidth="1"/>
    <col min="13818" max="13818" width="17.28515625" style="1" customWidth="1"/>
    <col min="13819" max="13819" width="16.85546875" style="1" customWidth="1"/>
    <col min="13820" max="13823" width="9.28515625" style="1" customWidth="1"/>
    <col min="13824" max="13824" width="16.7109375" style="1" customWidth="1"/>
    <col min="13825" max="13826" width="19.28515625" style="1" bestFit="1" customWidth="1"/>
    <col min="13827" max="13828" width="9.140625" style="1"/>
    <col min="13829" max="13830" width="14.7109375" style="1" bestFit="1" customWidth="1"/>
    <col min="13831" max="14055" width="9.140625" style="1"/>
    <col min="14056" max="14056" width="7.5703125" style="1" customWidth="1"/>
    <col min="14057" max="14057" width="34.42578125" style="1" customWidth="1"/>
    <col min="14058" max="14058" width="0" style="1" hidden="1" customWidth="1"/>
    <col min="14059" max="14065" width="17.140625" style="1" customWidth="1"/>
    <col min="14066" max="14067" width="24.42578125" style="1" customWidth="1"/>
    <col min="14068" max="14068" width="15.5703125" style="1" customWidth="1"/>
    <col min="14069" max="14069" width="15.7109375" style="1" customWidth="1"/>
    <col min="14070" max="14070" width="17.85546875" style="1" customWidth="1"/>
    <col min="14071" max="14071" width="14.7109375" style="1" customWidth="1"/>
    <col min="14072" max="14072" width="16.42578125" style="1" customWidth="1"/>
    <col min="14073" max="14073" width="15.7109375" style="1" customWidth="1"/>
    <col min="14074" max="14074" width="17.28515625" style="1" customWidth="1"/>
    <col min="14075" max="14075" width="16.85546875" style="1" customWidth="1"/>
    <col min="14076" max="14079" width="9.28515625" style="1" customWidth="1"/>
    <col min="14080" max="14080" width="16.7109375" style="1" customWidth="1"/>
    <col min="14081" max="14082" width="19.28515625" style="1" bestFit="1" customWidth="1"/>
    <col min="14083" max="14084" width="9.140625" style="1"/>
    <col min="14085" max="14086" width="14.7109375" style="1" bestFit="1" customWidth="1"/>
    <col min="14087" max="14311" width="9.140625" style="1"/>
    <col min="14312" max="14312" width="7.5703125" style="1" customWidth="1"/>
    <col min="14313" max="14313" width="34.42578125" style="1" customWidth="1"/>
    <col min="14314" max="14314" width="0" style="1" hidden="1" customWidth="1"/>
    <col min="14315" max="14321" width="17.140625" style="1" customWidth="1"/>
    <col min="14322" max="14323" width="24.42578125" style="1" customWidth="1"/>
    <col min="14324" max="14324" width="15.5703125" style="1" customWidth="1"/>
    <col min="14325" max="14325" width="15.7109375" style="1" customWidth="1"/>
    <col min="14326" max="14326" width="17.85546875" style="1" customWidth="1"/>
    <col min="14327" max="14327" width="14.7109375" style="1" customWidth="1"/>
    <col min="14328" max="14328" width="16.42578125" style="1" customWidth="1"/>
    <col min="14329" max="14329" width="15.7109375" style="1" customWidth="1"/>
    <col min="14330" max="14330" width="17.28515625" style="1" customWidth="1"/>
    <col min="14331" max="14331" width="16.85546875" style="1" customWidth="1"/>
    <col min="14332" max="14335" width="9.28515625" style="1" customWidth="1"/>
    <col min="14336" max="14336" width="16.7109375" style="1" customWidth="1"/>
    <col min="14337" max="14338" width="19.28515625" style="1" bestFit="1" customWidth="1"/>
    <col min="14339" max="14340" width="9.140625" style="1"/>
    <col min="14341" max="14342" width="14.7109375" style="1" bestFit="1" customWidth="1"/>
    <col min="14343" max="14567" width="9.140625" style="1"/>
    <col min="14568" max="14568" width="7.5703125" style="1" customWidth="1"/>
    <col min="14569" max="14569" width="34.42578125" style="1" customWidth="1"/>
    <col min="14570" max="14570" width="0" style="1" hidden="1" customWidth="1"/>
    <col min="14571" max="14577" width="17.140625" style="1" customWidth="1"/>
    <col min="14578" max="14579" width="24.42578125" style="1" customWidth="1"/>
    <col min="14580" max="14580" width="15.5703125" style="1" customWidth="1"/>
    <col min="14581" max="14581" width="15.7109375" style="1" customWidth="1"/>
    <col min="14582" max="14582" width="17.85546875" style="1" customWidth="1"/>
    <col min="14583" max="14583" width="14.7109375" style="1" customWidth="1"/>
    <col min="14584" max="14584" width="16.42578125" style="1" customWidth="1"/>
    <col min="14585" max="14585" width="15.7109375" style="1" customWidth="1"/>
    <col min="14586" max="14586" width="17.28515625" style="1" customWidth="1"/>
    <col min="14587" max="14587" width="16.85546875" style="1" customWidth="1"/>
    <col min="14588" max="14591" width="9.28515625" style="1" customWidth="1"/>
    <col min="14592" max="14592" width="16.7109375" style="1" customWidth="1"/>
    <col min="14593" max="14594" width="19.28515625" style="1" bestFit="1" customWidth="1"/>
    <col min="14595" max="14596" width="9.140625" style="1"/>
    <col min="14597" max="14598" width="14.7109375" style="1" bestFit="1" customWidth="1"/>
    <col min="14599" max="14823" width="9.140625" style="1"/>
    <col min="14824" max="14824" width="7.5703125" style="1" customWidth="1"/>
    <col min="14825" max="14825" width="34.42578125" style="1" customWidth="1"/>
    <col min="14826" max="14826" width="0" style="1" hidden="1" customWidth="1"/>
    <col min="14827" max="14833" width="17.140625" style="1" customWidth="1"/>
    <col min="14834" max="14835" width="24.42578125" style="1" customWidth="1"/>
    <col min="14836" max="14836" width="15.5703125" style="1" customWidth="1"/>
    <col min="14837" max="14837" width="15.7109375" style="1" customWidth="1"/>
    <col min="14838" max="14838" width="17.85546875" style="1" customWidth="1"/>
    <col min="14839" max="14839" width="14.7109375" style="1" customWidth="1"/>
    <col min="14840" max="14840" width="16.42578125" style="1" customWidth="1"/>
    <col min="14841" max="14841" width="15.7109375" style="1" customWidth="1"/>
    <col min="14842" max="14842" width="17.28515625" style="1" customWidth="1"/>
    <col min="14843" max="14843" width="16.85546875" style="1" customWidth="1"/>
    <col min="14844" max="14847" width="9.28515625" style="1" customWidth="1"/>
    <col min="14848" max="14848" width="16.7109375" style="1" customWidth="1"/>
    <col min="14849" max="14850" width="19.28515625" style="1" bestFit="1" customWidth="1"/>
    <col min="14851" max="14852" width="9.140625" style="1"/>
    <col min="14853" max="14854" width="14.7109375" style="1" bestFit="1" customWidth="1"/>
    <col min="14855" max="15079" width="9.140625" style="1"/>
    <col min="15080" max="15080" width="7.5703125" style="1" customWidth="1"/>
    <col min="15081" max="15081" width="34.42578125" style="1" customWidth="1"/>
    <col min="15082" max="15082" width="0" style="1" hidden="1" customWidth="1"/>
    <col min="15083" max="15089" width="17.140625" style="1" customWidth="1"/>
    <col min="15090" max="15091" width="24.42578125" style="1" customWidth="1"/>
    <col min="15092" max="15092" width="15.5703125" style="1" customWidth="1"/>
    <col min="15093" max="15093" width="15.7109375" style="1" customWidth="1"/>
    <col min="15094" max="15094" width="17.85546875" style="1" customWidth="1"/>
    <col min="15095" max="15095" width="14.7109375" style="1" customWidth="1"/>
    <col min="15096" max="15096" width="16.42578125" style="1" customWidth="1"/>
    <col min="15097" max="15097" width="15.7109375" style="1" customWidth="1"/>
    <col min="15098" max="15098" width="17.28515625" style="1" customWidth="1"/>
    <col min="15099" max="15099" width="16.85546875" style="1" customWidth="1"/>
    <col min="15100" max="15103" width="9.28515625" style="1" customWidth="1"/>
    <col min="15104" max="15104" width="16.7109375" style="1" customWidth="1"/>
    <col min="15105" max="15106" width="19.28515625" style="1" bestFit="1" customWidth="1"/>
    <col min="15107" max="15108" width="9.140625" style="1"/>
    <col min="15109" max="15110" width="14.7109375" style="1" bestFit="1" customWidth="1"/>
    <col min="15111" max="15335" width="9.140625" style="1"/>
    <col min="15336" max="15336" width="7.5703125" style="1" customWidth="1"/>
    <col min="15337" max="15337" width="34.42578125" style="1" customWidth="1"/>
    <col min="15338" max="15338" width="0" style="1" hidden="1" customWidth="1"/>
    <col min="15339" max="15345" width="17.140625" style="1" customWidth="1"/>
    <col min="15346" max="15347" width="24.42578125" style="1" customWidth="1"/>
    <col min="15348" max="15348" width="15.5703125" style="1" customWidth="1"/>
    <col min="15349" max="15349" width="15.7109375" style="1" customWidth="1"/>
    <col min="15350" max="15350" width="17.85546875" style="1" customWidth="1"/>
    <col min="15351" max="15351" width="14.7109375" style="1" customWidth="1"/>
    <col min="15352" max="15352" width="16.42578125" style="1" customWidth="1"/>
    <col min="15353" max="15353" width="15.7109375" style="1" customWidth="1"/>
    <col min="15354" max="15354" width="17.28515625" style="1" customWidth="1"/>
    <col min="15355" max="15355" width="16.85546875" style="1" customWidth="1"/>
    <col min="15356" max="15359" width="9.28515625" style="1" customWidth="1"/>
    <col min="15360" max="15360" width="16.7109375" style="1" customWidth="1"/>
    <col min="15361" max="15362" width="19.28515625" style="1" bestFit="1" customWidth="1"/>
    <col min="15363" max="15364" width="9.140625" style="1"/>
    <col min="15365" max="15366" width="14.7109375" style="1" bestFit="1" customWidth="1"/>
    <col min="15367" max="15591" width="9.140625" style="1"/>
    <col min="15592" max="15592" width="7.5703125" style="1" customWidth="1"/>
    <col min="15593" max="15593" width="34.42578125" style="1" customWidth="1"/>
    <col min="15594" max="15594" width="0" style="1" hidden="1" customWidth="1"/>
    <col min="15595" max="15601" width="17.140625" style="1" customWidth="1"/>
    <col min="15602" max="15603" width="24.42578125" style="1" customWidth="1"/>
    <col min="15604" max="15604" width="15.5703125" style="1" customWidth="1"/>
    <col min="15605" max="15605" width="15.7109375" style="1" customWidth="1"/>
    <col min="15606" max="15606" width="17.85546875" style="1" customWidth="1"/>
    <col min="15607" max="15607" width="14.7109375" style="1" customWidth="1"/>
    <col min="15608" max="15608" width="16.42578125" style="1" customWidth="1"/>
    <col min="15609" max="15609" width="15.7109375" style="1" customWidth="1"/>
    <col min="15610" max="15610" width="17.28515625" style="1" customWidth="1"/>
    <col min="15611" max="15611" width="16.85546875" style="1" customWidth="1"/>
    <col min="15612" max="15615" width="9.28515625" style="1" customWidth="1"/>
    <col min="15616" max="15616" width="16.7109375" style="1" customWidth="1"/>
    <col min="15617" max="15618" width="19.28515625" style="1" bestFit="1" customWidth="1"/>
    <col min="15619" max="15620" width="9.140625" style="1"/>
    <col min="15621" max="15622" width="14.7109375" style="1" bestFit="1" customWidth="1"/>
    <col min="15623" max="15847" width="9.140625" style="1"/>
    <col min="15848" max="15848" width="7.5703125" style="1" customWidth="1"/>
    <col min="15849" max="15849" width="34.42578125" style="1" customWidth="1"/>
    <col min="15850" max="15850" width="0" style="1" hidden="1" customWidth="1"/>
    <col min="15851" max="15857" width="17.140625" style="1" customWidth="1"/>
    <col min="15858" max="15859" width="24.42578125" style="1" customWidth="1"/>
    <col min="15860" max="15860" width="15.5703125" style="1" customWidth="1"/>
    <col min="15861" max="15861" width="15.7109375" style="1" customWidth="1"/>
    <col min="15862" max="15862" width="17.85546875" style="1" customWidth="1"/>
    <col min="15863" max="15863" width="14.7109375" style="1" customWidth="1"/>
    <col min="15864" max="15864" width="16.42578125" style="1" customWidth="1"/>
    <col min="15865" max="15865" width="15.7109375" style="1" customWidth="1"/>
    <col min="15866" max="15866" width="17.28515625" style="1" customWidth="1"/>
    <col min="15867" max="15867" width="16.85546875" style="1" customWidth="1"/>
    <col min="15868" max="15871" width="9.28515625" style="1" customWidth="1"/>
    <col min="15872" max="15872" width="16.7109375" style="1" customWidth="1"/>
    <col min="15873" max="15874" width="19.28515625" style="1" bestFit="1" customWidth="1"/>
    <col min="15875" max="15876" width="9.140625" style="1"/>
    <col min="15877" max="15878" width="14.7109375" style="1" bestFit="1" customWidth="1"/>
    <col min="15879" max="16103" width="9.140625" style="1"/>
    <col min="16104" max="16104" width="7.5703125" style="1" customWidth="1"/>
    <col min="16105" max="16105" width="34.42578125" style="1" customWidth="1"/>
    <col min="16106" max="16106" width="0" style="1" hidden="1" customWidth="1"/>
    <col min="16107" max="16113" width="17.140625" style="1" customWidth="1"/>
    <col min="16114" max="16115" width="24.42578125" style="1" customWidth="1"/>
    <col min="16116" max="16116" width="15.5703125" style="1" customWidth="1"/>
    <col min="16117" max="16117" width="15.7109375" style="1" customWidth="1"/>
    <col min="16118" max="16118" width="17.85546875" style="1" customWidth="1"/>
    <col min="16119" max="16119" width="14.7109375" style="1" customWidth="1"/>
    <col min="16120" max="16120" width="16.42578125" style="1" customWidth="1"/>
    <col min="16121" max="16121" width="15.7109375" style="1" customWidth="1"/>
    <col min="16122" max="16122" width="17.28515625" style="1" customWidth="1"/>
    <col min="16123" max="16123" width="16.85546875" style="1" customWidth="1"/>
    <col min="16124" max="16127" width="9.28515625" style="1" customWidth="1"/>
    <col min="16128" max="16128" width="16.7109375" style="1" customWidth="1"/>
    <col min="16129" max="16130" width="19.28515625" style="1" bestFit="1" customWidth="1"/>
    <col min="16131" max="16132" width="9.140625" style="1"/>
    <col min="16133" max="16134" width="14.7109375" style="1" bestFit="1" customWidth="1"/>
    <col min="16135" max="16384" width="9.140625" style="1"/>
  </cols>
  <sheetData>
    <row r="1" spans="1:8" x14ac:dyDescent="0.25">
      <c r="A1" s="34" t="s">
        <v>293</v>
      </c>
      <c r="B1" s="34"/>
      <c r="C1" s="34"/>
      <c r="D1" s="34"/>
      <c r="E1" s="34"/>
      <c r="F1" s="34"/>
      <c r="G1" s="34"/>
      <c r="H1" s="34"/>
    </row>
    <row r="2" spans="1:8" ht="19.5" customHeight="1" x14ac:dyDescent="0.25">
      <c r="A2" s="35" t="s">
        <v>294</v>
      </c>
      <c r="B2" s="35"/>
      <c r="C2" s="35"/>
      <c r="D2" s="35"/>
      <c r="E2" s="35"/>
      <c r="F2" s="35"/>
      <c r="G2" s="35"/>
      <c r="H2" s="35"/>
    </row>
    <row r="3" spans="1:8" x14ac:dyDescent="0.25">
      <c r="A3" s="2" t="s">
        <v>0</v>
      </c>
      <c r="B3" s="2" t="s">
        <v>1</v>
      </c>
      <c r="C3" s="2" t="s">
        <v>2</v>
      </c>
      <c r="D3" s="2" t="s">
        <v>3</v>
      </c>
      <c r="E3" s="2" t="s">
        <v>4</v>
      </c>
      <c r="F3" s="2" t="s">
        <v>5</v>
      </c>
      <c r="G3" s="2" t="s">
        <v>6</v>
      </c>
      <c r="H3" s="2" t="s">
        <v>7</v>
      </c>
    </row>
    <row r="4" spans="1:8" x14ac:dyDescent="0.25">
      <c r="A4" s="3" t="s">
        <v>8</v>
      </c>
      <c r="B4" s="4" t="s">
        <v>9</v>
      </c>
      <c r="C4" s="4" t="s">
        <v>10</v>
      </c>
      <c r="D4" s="5" t="s">
        <v>11</v>
      </c>
      <c r="E4" s="5">
        <v>66900</v>
      </c>
      <c r="F4" s="5">
        <v>400000</v>
      </c>
      <c r="G4" s="5">
        <f>268550+103370</f>
        <v>371920</v>
      </c>
      <c r="H4" s="5">
        <f>SUM(E4:G4)</f>
        <v>838820</v>
      </c>
    </row>
    <row r="5" spans="1:8" x14ac:dyDescent="0.25">
      <c r="A5" s="3"/>
      <c r="B5" s="4"/>
      <c r="C5" s="4"/>
      <c r="D5" s="5" t="s">
        <v>12</v>
      </c>
      <c r="E5" s="5">
        <v>73590</v>
      </c>
      <c r="F5" s="5">
        <v>1050000</v>
      </c>
      <c r="G5" s="5"/>
      <c r="H5" s="5">
        <f t="shared" ref="H5:H53" si="0">SUM(E5:G5)</f>
        <v>1123590</v>
      </c>
    </row>
    <row r="6" spans="1:8" x14ac:dyDescent="0.25">
      <c r="A6" s="3"/>
      <c r="B6" s="4"/>
      <c r="C6" s="4"/>
      <c r="D6" s="5" t="s">
        <v>13</v>
      </c>
      <c r="E6" s="5">
        <v>147000</v>
      </c>
      <c r="F6" s="5">
        <v>1250000</v>
      </c>
      <c r="G6" s="5"/>
      <c r="H6" s="5">
        <f t="shared" si="0"/>
        <v>1397000</v>
      </c>
    </row>
    <row r="7" spans="1:8" x14ac:dyDescent="0.25">
      <c r="A7" s="3"/>
      <c r="B7" s="4"/>
      <c r="C7" s="4"/>
      <c r="D7" s="5" t="s">
        <v>14</v>
      </c>
      <c r="E7" s="5">
        <v>49000</v>
      </c>
      <c r="F7" s="5">
        <v>300000</v>
      </c>
      <c r="G7" s="5">
        <f>1696903+860761</f>
        <v>2557664</v>
      </c>
      <c r="H7" s="5">
        <f t="shared" si="0"/>
        <v>2906664</v>
      </c>
    </row>
    <row r="8" spans="1:8" x14ac:dyDescent="0.25">
      <c r="A8" s="3"/>
      <c r="B8" s="4"/>
      <c r="C8" s="4"/>
      <c r="D8" s="5" t="s">
        <v>15</v>
      </c>
      <c r="E8" s="5">
        <v>73500</v>
      </c>
      <c r="F8" s="5">
        <v>940000</v>
      </c>
      <c r="G8" s="5"/>
      <c r="H8" s="5">
        <f t="shared" si="0"/>
        <v>1013500</v>
      </c>
    </row>
    <row r="9" spans="1:8" x14ac:dyDescent="0.25">
      <c r="A9" s="3"/>
      <c r="B9" s="4"/>
      <c r="C9" s="4"/>
      <c r="D9" s="5" t="s">
        <v>16</v>
      </c>
      <c r="E9" s="5">
        <v>49000</v>
      </c>
      <c r="F9" s="5">
        <v>300000</v>
      </c>
      <c r="G9" s="5">
        <f>153655+67424</f>
        <v>221079</v>
      </c>
      <c r="H9" s="5">
        <f t="shared" si="0"/>
        <v>570079</v>
      </c>
    </row>
    <row r="10" spans="1:8" x14ac:dyDescent="0.25">
      <c r="A10" s="3"/>
      <c r="B10" s="4"/>
      <c r="C10" s="4"/>
      <c r="D10" s="5" t="s">
        <v>16</v>
      </c>
      <c r="E10" s="5">
        <v>73500</v>
      </c>
      <c r="F10" s="5">
        <f>360000+180000</f>
        <v>540000</v>
      </c>
      <c r="G10" s="5"/>
      <c r="H10" s="5">
        <f t="shared" si="0"/>
        <v>613500</v>
      </c>
    </row>
    <row r="11" spans="1:8" x14ac:dyDescent="0.25">
      <c r="A11" s="3"/>
      <c r="B11" s="4"/>
      <c r="C11" s="4"/>
      <c r="D11" s="5" t="s">
        <v>14</v>
      </c>
      <c r="E11" s="5">
        <v>189000</v>
      </c>
      <c r="F11" s="5"/>
      <c r="G11" s="5">
        <f>479695+1634448</f>
        <v>2114143</v>
      </c>
      <c r="H11" s="5">
        <f t="shared" si="0"/>
        <v>2303143</v>
      </c>
    </row>
    <row r="12" spans="1:8" x14ac:dyDescent="0.25">
      <c r="A12" s="3"/>
      <c r="B12" s="4"/>
      <c r="C12" s="4"/>
      <c r="D12" s="5" t="s">
        <v>12</v>
      </c>
      <c r="E12" s="5">
        <v>54000</v>
      </c>
      <c r="F12" s="5">
        <f>175000+350000</f>
        <v>525000</v>
      </c>
      <c r="G12" s="5"/>
      <c r="H12" s="5">
        <f t="shared" si="0"/>
        <v>579000</v>
      </c>
    </row>
    <row r="13" spans="1:8" s="9" customFormat="1" x14ac:dyDescent="0.25">
      <c r="A13" s="6" t="s">
        <v>7</v>
      </c>
      <c r="B13" s="7" t="s">
        <v>9</v>
      </c>
      <c r="C13" s="28" t="s">
        <v>10</v>
      </c>
      <c r="D13" s="29"/>
      <c r="E13" s="8">
        <f>SUM(E4:E12)</f>
        <v>775490</v>
      </c>
      <c r="F13" s="8">
        <f t="shared" ref="F13:H13" si="1">SUM(F4:F12)</f>
        <v>5305000</v>
      </c>
      <c r="G13" s="8">
        <f t="shared" si="1"/>
        <v>5264806</v>
      </c>
      <c r="H13" s="8">
        <f t="shared" si="1"/>
        <v>11345296</v>
      </c>
    </row>
    <row r="14" spans="1:8" ht="15" customHeight="1" x14ac:dyDescent="0.25">
      <c r="A14" s="3" t="s">
        <v>17</v>
      </c>
      <c r="B14" s="4" t="s">
        <v>18</v>
      </c>
      <c r="C14" s="4" t="s">
        <v>19</v>
      </c>
      <c r="D14" s="5" t="s">
        <v>20</v>
      </c>
      <c r="E14" s="5">
        <v>249760</v>
      </c>
      <c r="F14" s="5">
        <f>1050000+267600</f>
        <v>1317600</v>
      </c>
      <c r="G14" s="5">
        <f>23906+23906</f>
        <v>47812</v>
      </c>
      <c r="H14" s="5">
        <f t="shared" si="0"/>
        <v>1615172</v>
      </c>
    </row>
    <row r="15" spans="1:8" ht="15" customHeight="1" x14ac:dyDescent="0.25">
      <c r="A15" s="3"/>
      <c r="B15" s="22"/>
      <c r="C15" s="4"/>
      <c r="D15" s="5" t="s">
        <v>21</v>
      </c>
      <c r="E15" s="5">
        <v>220500</v>
      </c>
      <c r="F15" s="5">
        <f>1500000+765000</f>
        <v>2265000</v>
      </c>
      <c r="G15" s="5">
        <f>461033+823538</f>
        <v>1284571</v>
      </c>
      <c r="H15" s="5">
        <f t="shared" si="0"/>
        <v>3770071</v>
      </c>
    </row>
    <row r="16" spans="1:8" ht="15" customHeight="1" x14ac:dyDescent="0.25">
      <c r="A16" s="3"/>
      <c r="B16" s="22"/>
      <c r="C16" s="15"/>
      <c r="D16" s="5" t="s">
        <v>14</v>
      </c>
      <c r="E16" s="5">
        <v>367500</v>
      </c>
      <c r="F16" s="5">
        <f>98000+360000+1190000+750000</f>
        <v>2398000</v>
      </c>
      <c r="G16" s="5">
        <f>1503727+29988+411527+35280+35280</f>
        <v>2015802</v>
      </c>
      <c r="H16" s="5">
        <f t="shared" si="0"/>
        <v>4781302</v>
      </c>
    </row>
    <row r="17" spans="1:8" ht="15" customHeight="1" x14ac:dyDescent="0.25">
      <c r="A17" s="3"/>
      <c r="B17" s="22"/>
      <c r="C17" s="15"/>
      <c r="D17" s="5" t="s">
        <v>15</v>
      </c>
      <c r="E17" s="5">
        <v>378000</v>
      </c>
      <c r="F17" s="5">
        <v>3500000</v>
      </c>
      <c r="G17" s="5">
        <f>100000+64800</f>
        <v>164800</v>
      </c>
      <c r="H17" s="5">
        <f t="shared" si="0"/>
        <v>4042800</v>
      </c>
    </row>
    <row r="18" spans="1:8" s="9" customFormat="1" x14ac:dyDescent="0.25">
      <c r="A18" s="6" t="s">
        <v>7</v>
      </c>
      <c r="B18" s="7" t="s">
        <v>18</v>
      </c>
      <c r="C18" s="28" t="s">
        <v>19</v>
      </c>
      <c r="D18" s="29"/>
      <c r="E18" s="8">
        <f>SUM(E14:E17)</f>
        <v>1215760</v>
      </c>
      <c r="F18" s="8">
        <f t="shared" ref="F18:H18" si="2">SUM(F14:F17)</f>
        <v>9480600</v>
      </c>
      <c r="G18" s="8">
        <f t="shared" si="2"/>
        <v>3512985</v>
      </c>
      <c r="H18" s="8">
        <f t="shared" si="2"/>
        <v>14209345</v>
      </c>
    </row>
    <row r="19" spans="1:8" ht="15" customHeight="1" x14ac:dyDescent="0.25">
      <c r="A19" s="3" t="s">
        <v>22</v>
      </c>
      <c r="B19" s="4" t="s">
        <v>23</v>
      </c>
      <c r="C19" s="4" t="s">
        <v>24</v>
      </c>
      <c r="D19" s="5" t="s">
        <v>14</v>
      </c>
      <c r="E19" s="5">
        <f>338960+98000</f>
        <v>436960</v>
      </c>
      <c r="F19" s="5">
        <f>2850000+178400</f>
        <v>3028400</v>
      </c>
      <c r="G19" s="5">
        <f>40318+44296</f>
        <v>84614</v>
      </c>
      <c r="H19" s="5">
        <f t="shared" si="0"/>
        <v>3549974</v>
      </c>
    </row>
    <row r="20" spans="1:8" s="9" customFormat="1" x14ac:dyDescent="0.25">
      <c r="A20" s="6" t="s">
        <v>7</v>
      </c>
      <c r="B20" s="7" t="s">
        <v>23</v>
      </c>
      <c r="C20" s="28" t="s">
        <v>24</v>
      </c>
      <c r="D20" s="29"/>
      <c r="E20" s="8">
        <f>SUM(E19:E19)</f>
        <v>436960</v>
      </c>
      <c r="F20" s="8">
        <f t="shared" ref="F20:H20" si="3">SUM(F19:F19)</f>
        <v>3028400</v>
      </c>
      <c r="G20" s="8">
        <f t="shared" si="3"/>
        <v>84614</v>
      </c>
      <c r="H20" s="8">
        <f t="shared" si="3"/>
        <v>3549974</v>
      </c>
    </row>
    <row r="21" spans="1:8" ht="15" customHeight="1" x14ac:dyDescent="0.25">
      <c r="A21" s="3" t="s">
        <v>25</v>
      </c>
      <c r="B21" s="4" t="s">
        <v>26</v>
      </c>
      <c r="C21" s="4" t="s">
        <v>10</v>
      </c>
      <c r="D21" s="5" t="s">
        <v>27</v>
      </c>
      <c r="E21" s="5">
        <v>49000</v>
      </c>
      <c r="F21" s="5"/>
      <c r="G21" s="5">
        <v>70560</v>
      </c>
      <c r="H21" s="5">
        <f t="shared" si="0"/>
        <v>119560</v>
      </c>
    </row>
    <row r="22" spans="1:8" ht="15" customHeight="1" x14ac:dyDescent="0.25">
      <c r="A22" s="3"/>
      <c r="B22" s="4"/>
      <c r="C22" s="15"/>
      <c r="D22" s="5" t="s">
        <v>270</v>
      </c>
      <c r="E22" s="5">
        <v>432000</v>
      </c>
      <c r="F22" s="5">
        <f>1050000+1600000+1600000</f>
        <v>4250000</v>
      </c>
      <c r="G22" s="5">
        <f>23976+23976</f>
        <v>47952</v>
      </c>
      <c r="H22" s="5">
        <f t="shared" si="0"/>
        <v>4729952</v>
      </c>
    </row>
    <row r="23" spans="1:8" s="9" customFormat="1" x14ac:dyDescent="0.25">
      <c r="A23" s="6" t="s">
        <v>7</v>
      </c>
      <c r="B23" s="7" t="s">
        <v>26</v>
      </c>
      <c r="C23" s="28" t="s">
        <v>10</v>
      </c>
      <c r="D23" s="29"/>
      <c r="E23" s="8">
        <f>SUM(E21:E22)</f>
        <v>481000</v>
      </c>
      <c r="F23" s="8">
        <f t="shared" ref="F23:H23" si="4">SUM(F21:F22)</f>
        <v>4250000</v>
      </c>
      <c r="G23" s="8">
        <f t="shared" si="4"/>
        <v>118512</v>
      </c>
      <c r="H23" s="8">
        <f t="shared" si="4"/>
        <v>4849512</v>
      </c>
    </row>
    <row r="24" spans="1:8" ht="15" customHeight="1" x14ac:dyDescent="0.25">
      <c r="A24" s="3" t="s">
        <v>28</v>
      </c>
      <c r="B24" s="4" t="s">
        <v>29</v>
      </c>
      <c r="C24" s="4" t="s">
        <v>10</v>
      </c>
      <c r="D24" s="5" t="s">
        <v>30</v>
      </c>
      <c r="E24" s="5">
        <v>66900</v>
      </c>
      <c r="F24" s="5">
        <v>450000</v>
      </c>
      <c r="G24" s="5"/>
      <c r="H24" s="5">
        <f t="shared" si="0"/>
        <v>516900</v>
      </c>
    </row>
    <row r="25" spans="1:8" s="9" customFormat="1" x14ac:dyDescent="0.25">
      <c r="A25" s="6" t="s">
        <v>7</v>
      </c>
      <c r="B25" s="7" t="s">
        <v>29</v>
      </c>
      <c r="C25" s="28" t="s">
        <v>10</v>
      </c>
      <c r="D25" s="29"/>
      <c r="E25" s="8">
        <f>SUM(E24)</f>
        <v>66900</v>
      </c>
      <c r="F25" s="8">
        <f t="shared" ref="F25:H25" si="5">SUM(F24)</f>
        <v>450000</v>
      </c>
      <c r="G25" s="8">
        <f t="shared" si="5"/>
        <v>0</v>
      </c>
      <c r="H25" s="8">
        <f t="shared" si="5"/>
        <v>516900</v>
      </c>
    </row>
    <row r="26" spans="1:8" ht="15" customHeight="1" x14ac:dyDescent="0.25">
      <c r="A26" s="3" t="s">
        <v>31</v>
      </c>
      <c r="B26" s="4" t="s">
        <v>32</v>
      </c>
      <c r="C26" s="4" t="s">
        <v>19</v>
      </c>
      <c r="D26" s="5" t="s">
        <v>33</v>
      </c>
      <c r="E26" s="5">
        <v>89200</v>
      </c>
      <c r="F26" s="5">
        <v>720000</v>
      </c>
      <c r="G26" s="5">
        <f>138500+48881+121670</f>
        <v>309051</v>
      </c>
      <c r="H26" s="5">
        <f t="shared" si="0"/>
        <v>1118251</v>
      </c>
    </row>
    <row r="27" spans="1:8" ht="15" customHeight="1" x14ac:dyDescent="0.25">
      <c r="A27" s="3"/>
      <c r="B27" s="4"/>
      <c r="C27" s="4"/>
      <c r="D27" s="5" t="s">
        <v>30</v>
      </c>
      <c r="E27" s="5">
        <v>73500</v>
      </c>
      <c r="F27" s="5">
        <f>350000+380000</f>
        <v>730000</v>
      </c>
      <c r="G27" s="5">
        <f>88983+146000</f>
        <v>234983</v>
      </c>
      <c r="H27" s="5">
        <f t="shared" si="0"/>
        <v>1038483</v>
      </c>
    </row>
    <row r="28" spans="1:8" ht="15" customHeight="1" x14ac:dyDescent="0.25">
      <c r="A28" s="3"/>
      <c r="B28" s="4"/>
      <c r="C28" s="4"/>
      <c r="D28" s="5" t="s">
        <v>34</v>
      </c>
      <c r="E28" s="5">
        <v>122500</v>
      </c>
      <c r="F28" s="5">
        <v>875000</v>
      </c>
      <c r="G28" s="5">
        <f>53508+195350+94000</f>
        <v>342858</v>
      </c>
      <c r="H28" s="5">
        <f t="shared" si="0"/>
        <v>1340358</v>
      </c>
    </row>
    <row r="29" spans="1:8" ht="15" customHeight="1" x14ac:dyDescent="0.25">
      <c r="A29" s="3"/>
      <c r="B29" s="4"/>
      <c r="C29" s="15"/>
      <c r="D29" s="16" t="s">
        <v>30</v>
      </c>
      <c r="E29" s="5">
        <v>378000</v>
      </c>
      <c r="F29" s="5">
        <f>2470000+251000</f>
        <v>2721000</v>
      </c>
      <c r="G29" s="5">
        <f>98280+98280</f>
        <v>196560</v>
      </c>
      <c r="H29" s="5">
        <f t="shared" si="0"/>
        <v>3295560</v>
      </c>
    </row>
    <row r="30" spans="1:8" s="9" customFormat="1" x14ac:dyDescent="0.25">
      <c r="A30" s="6" t="s">
        <v>7</v>
      </c>
      <c r="B30" s="7" t="s">
        <v>32</v>
      </c>
      <c r="C30" s="28" t="s">
        <v>19</v>
      </c>
      <c r="D30" s="29"/>
      <c r="E30" s="8">
        <f>SUM(E26:E29)</f>
        <v>663200</v>
      </c>
      <c r="F30" s="8">
        <f t="shared" ref="F30:H30" si="6">SUM(F26:F29)</f>
        <v>5046000</v>
      </c>
      <c r="G30" s="8">
        <f t="shared" si="6"/>
        <v>1083452</v>
      </c>
      <c r="H30" s="8">
        <f t="shared" si="6"/>
        <v>6792652</v>
      </c>
    </row>
    <row r="31" spans="1:8" ht="15" customHeight="1" x14ac:dyDescent="0.25">
      <c r="A31" s="3" t="s">
        <v>35</v>
      </c>
      <c r="B31" s="4" t="s">
        <v>36</v>
      </c>
      <c r="C31" s="4" t="s">
        <v>24</v>
      </c>
      <c r="D31" s="5" t="s">
        <v>20</v>
      </c>
      <c r="E31" s="5">
        <v>517360</v>
      </c>
      <c r="F31" s="5">
        <v>1293400</v>
      </c>
      <c r="G31" s="5">
        <f>10525.6*2</f>
        <v>21051.200000000001</v>
      </c>
      <c r="H31" s="5">
        <f t="shared" si="0"/>
        <v>1831811.2</v>
      </c>
    </row>
    <row r="32" spans="1:8" ht="15" customHeight="1" x14ac:dyDescent="0.25">
      <c r="A32" s="3"/>
      <c r="B32" s="4"/>
      <c r="C32" s="4"/>
      <c r="D32" s="5" t="s">
        <v>20</v>
      </c>
      <c r="E32" s="5">
        <v>124880</v>
      </c>
      <c r="F32" s="5">
        <v>312200</v>
      </c>
      <c r="G32" s="5">
        <f>11614*2</f>
        <v>23228</v>
      </c>
      <c r="H32" s="5">
        <f t="shared" si="0"/>
        <v>460308</v>
      </c>
    </row>
    <row r="33" spans="1:8" ht="15" customHeight="1" x14ac:dyDescent="0.25">
      <c r="A33" s="3"/>
      <c r="B33" s="4"/>
      <c r="C33" s="4"/>
      <c r="D33" s="5" t="s">
        <v>20</v>
      </c>
      <c r="E33" s="5">
        <v>392480</v>
      </c>
      <c r="F33" s="5">
        <v>981200</v>
      </c>
      <c r="G33" s="5">
        <f>11596+12756</f>
        <v>24352</v>
      </c>
      <c r="H33" s="5">
        <f t="shared" si="0"/>
        <v>1398032</v>
      </c>
    </row>
    <row r="34" spans="1:8" ht="15" customHeight="1" x14ac:dyDescent="0.25">
      <c r="A34" s="3"/>
      <c r="B34" s="4"/>
      <c r="C34" s="4"/>
      <c r="D34" s="5" t="s">
        <v>20</v>
      </c>
      <c r="E34" s="5">
        <v>627200</v>
      </c>
      <c r="F34" s="5">
        <v>1568000</v>
      </c>
      <c r="G34" s="5">
        <f>8722*2</f>
        <v>17444</v>
      </c>
      <c r="H34" s="5">
        <f t="shared" si="0"/>
        <v>2212644</v>
      </c>
    </row>
    <row r="35" spans="1:8" ht="15" customHeight="1" x14ac:dyDescent="0.25">
      <c r="A35" s="3"/>
      <c r="B35" s="4"/>
      <c r="C35" s="4"/>
      <c r="D35" s="5" t="s">
        <v>20</v>
      </c>
      <c r="E35" s="5">
        <v>294000</v>
      </c>
      <c r="F35" s="5">
        <v>588000</v>
      </c>
      <c r="G35" s="5">
        <f>12818*2+1</f>
        <v>25637</v>
      </c>
      <c r="H35" s="5">
        <f t="shared" si="0"/>
        <v>907637</v>
      </c>
    </row>
    <row r="36" spans="1:8" ht="15" customHeight="1" x14ac:dyDescent="0.25">
      <c r="A36" s="3"/>
      <c r="B36" s="4"/>
      <c r="C36" s="4"/>
      <c r="D36" s="5" t="s">
        <v>27</v>
      </c>
      <c r="E36" s="5">
        <v>24500</v>
      </c>
      <c r="F36" s="5">
        <v>110000</v>
      </c>
      <c r="G36" s="5">
        <f>35280*2</f>
        <v>70560</v>
      </c>
      <c r="H36" s="5">
        <f t="shared" si="0"/>
        <v>205060</v>
      </c>
    </row>
    <row r="37" spans="1:8" ht="15" customHeight="1" x14ac:dyDescent="0.25">
      <c r="A37" s="3"/>
      <c r="B37" s="4"/>
      <c r="C37" s="4"/>
      <c r="D37" s="5" t="s">
        <v>12</v>
      </c>
      <c r="E37" s="5">
        <v>73500</v>
      </c>
      <c r="F37" s="5">
        <v>810000</v>
      </c>
      <c r="G37" s="5">
        <f>84420+60564</f>
        <v>144984</v>
      </c>
      <c r="H37" s="5">
        <f>SUM(E37:G37)</f>
        <v>1028484</v>
      </c>
    </row>
    <row r="38" spans="1:8" ht="15" customHeight="1" x14ac:dyDescent="0.25">
      <c r="A38" s="3"/>
      <c r="B38" s="4"/>
      <c r="C38" s="4"/>
      <c r="D38" s="5" t="s">
        <v>27</v>
      </c>
      <c r="E38" s="5">
        <v>73500</v>
      </c>
      <c r="F38" s="5">
        <v>510000</v>
      </c>
      <c r="G38" s="5">
        <f>95440+146800</f>
        <v>242240</v>
      </c>
      <c r="H38" s="5">
        <f t="shared" si="0"/>
        <v>825740</v>
      </c>
    </row>
    <row r="39" spans="1:8" s="9" customFormat="1" x14ac:dyDescent="0.25">
      <c r="A39" s="6" t="s">
        <v>7</v>
      </c>
      <c r="B39" s="7" t="s">
        <v>36</v>
      </c>
      <c r="C39" s="28" t="s">
        <v>24</v>
      </c>
      <c r="D39" s="29"/>
      <c r="E39" s="8">
        <f>SUM(E31:E38)</f>
        <v>2127420</v>
      </c>
      <c r="F39" s="8">
        <f t="shared" ref="F39:H39" si="7">SUM(F31:F38)</f>
        <v>6172800</v>
      </c>
      <c r="G39" s="8">
        <f t="shared" si="7"/>
        <v>569496.19999999995</v>
      </c>
      <c r="H39" s="8">
        <f t="shared" si="7"/>
        <v>8869716.1999999993</v>
      </c>
    </row>
    <row r="40" spans="1:8" ht="15" customHeight="1" x14ac:dyDescent="0.25">
      <c r="A40" s="3" t="s">
        <v>37</v>
      </c>
      <c r="B40" s="4" t="s">
        <v>38</v>
      </c>
      <c r="C40" s="4" t="s">
        <v>24</v>
      </c>
      <c r="D40" s="5" t="s">
        <v>30</v>
      </c>
      <c r="E40" s="5">
        <v>176400</v>
      </c>
      <c r="F40" s="5">
        <v>441000</v>
      </c>
      <c r="G40" s="5">
        <f>20580*2</f>
        <v>41160</v>
      </c>
      <c r="H40" s="5">
        <f t="shared" si="0"/>
        <v>658560</v>
      </c>
    </row>
    <row r="41" spans="1:8" ht="15" customHeight="1" x14ac:dyDescent="0.25">
      <c r="A41" s="3"/>
      <c r="B41" s="4"/>
      <c r="C41" s="4"/>
      <c r="D41" s="5" t="s">
        <v>30</v>
      </c>
      <c r="E41" s="5">
        <v>156800</v>
      </c>
      <c r="F41" s="5">
        <v>2000000</v>
      </c>
      <c r="G41" s="5">
        <f>20580*2</f>
        <v>41160</v>
      </c>
      <c r="H41" s="5">
        <f t="shared" si="0"/>
        <v>2197960</v>
      </c>
    </row>
    <row r="42" spans="1:8" ht="15" customHeight="1" x14ac:dyDescent="0.25">
      <c r="A42" s="3"/>
      <c r="B42" s="4"/>
      <c r="C42" s="4"/>
      <c r="D42" s="5" t="s">
        <v>30</v>
      </c>
      <c r="E42" s="5">
        <v>117600</v>
      </c>
      <c r="F42" s="5">
        <v>294000</v>
      </c>
      <c r="G42" s="5">
        <f>19992*2</f>
        <v>39984</v>
      </c>
      <c r="H42" s="5">
        <f t="shared" si="0"/>
        <v>451584</v>
      </c>
    </row>
    <row r="43" spans="1:8" ht="15" customHeight="1" x14ac:dyDescent="0.25">
      <c r="A43" s="3"/>
      <c r="B43" s="4"/>
      <c r="C43" s="4"/>
      <c r="D43" s="5" t="s">
        <v>34</v>
      </c>
      <c r="E43" s="5">
        <v>392000</v>
      </c>
      <c r="F43" s="5">
        <f>2520000+98000</f>
        <v>2618000</v>
      </c>
      <c r="G43" s="5">
        <f>54096*2</f>
        <v>108192</v>
      </c>
      <c r="H43" s="5">
        <f t="shared" si="0"/>
        <v>3118192</v>
      </c>
    </row>
    <row r="44" spans="1:8" ht="15" customHeight="1" x14ac:dyDescent="0.25">
      <c r="A44" s="3"/>
      <c r="B44" s="4"/>
      <c r="C44" s="4"/>
      <c r="D44" s="5" t="s">
        <v>39</v>
      </c>
      <c r="E44" s="5">
        <v>294000</v>
      </c>
      <c r="F44" s="5">
        <f>98000+1800000+60000</f>
        <v>1958000</v>
      </c>
      <c r="G44" s="5">
        <f>54096*2</f>
        <v>108192</v>
      </c>
      <c r="H44" s="5">
        <f>SUM(E44:G44)</f>
        <v>2360192</v>
      </c>
    </row>
    <row r="45" spans="1:8" ht="15" customHeight="1" x14ac:dyDescent="0.25">
      <c r="A45" s="3"/>
      <c r="B45" s="4"/>
      <c r="C45" s="4"/>
      <c r="D45" s="5" t="s">
        <v>14</v>
      </c>
      <c r="E45" s="5">
        <f>98000+78400</f>
        <v>176400</v>
      </c>
      <c r="F45" s="5">
        <f>245000+196000</f>
        <v>441000</v>
      </c>
      <c r="G45" s="5">
        <f>41160+45472</f>
        <v>86632</v>
      </c>
      <c r="H45" s="5">
        <f t="shared" si="0"/>
        <v>704032</v>
      </c>
    </row>
    <row r="46" spans="1:8" ht="15" customHeight="1" x14ac:dyDescent="0.25">
      <c r="A46" s="3"/>
      <c r="B46" s="4"/>
      <c r="C46" s="15"/>
      <c r="D46" s="16" t="s">
        <v>30</v>
      </c>
      <c r="E46" s="5">
        <v>137200</v>
      </c>
      <c r="F46" s="5">
        <v>1750000</v>
      </c>
      <c r="G46" s="5">
        <f>19992+19992</f>
        <v>39984</v>
      </c>
      <c r="H46" s="5">
        <f t="shared" si="0"/>
        <v>1927184</v>
      </c>
    </row>
    <row r="47" spans="1:8" ht="15" customHeight="1" x14ac:dyDescent="0.25">
      <c r="A47" s="3"/>
      <c r="B47" s="4"/>
      <c r="C47" s="15"/>
      <c r="D47" s="16" t="s">
        <v>30</v>
      </c>
      <c r="E47" s="5">
        <f>21600*5</f>
        <v>108000</v>
      </c>
      <c r="F47" s="5">
        <f>54000+800000</f>
        <v>854000</v>
      </c>
      <c r="G47" s="5">
        <f>36288+19224+22680</f>
        <v>78192</v>
      </c>
      <c r="H47" s="5">
        <f t="shared" si="0"/>
        <v>1040192</v>
      </c>
    </row>
    <row r="48" spans="1:8" s="9" customFormat="1" x14ac:dyDescent="0.25">
      <c r="A48" s="6" t="s">
        <v>7</v>
      </c>
      <c r="B48" s="7" t="s">
        <v>38</v>
      </c>
      <c r="C48" s="28" t="s">
        <v>24</v>
      </c>
      <c r="D48" s="29"/>
      <c r="E48" s="8">
        <f>SUM(E40:E47)</f>
        <v>1558400</v>
      </c>
      <c r="F48" s="8">
        <f t="shared" ref="F48:H48" si="8">SUM(F40:F47)</f>
        <v>10356000</v>
      </c>
      <c r="G48" s="8">
        <f t="shared" si="8"/>
        <v>543496</v>
      </c>
      <c r="H48" s="8">
        <f t="shared" si="8"/>
        <v>12457896</v>
      </c>
    </row>
    <row r="49" spans="1:8" ht="15" customHeight="1" x14ac:dyDescent="0.25">
      <c r="A49" s="3" t="s">
        <v>40</v>
      </c>
      <c r="B49" s="4" t="s">
        <v>41</v>
      </c>
      <c r="C49" s="4" t="s">
        <v>42</v>
      </c>
      <c r="D49" s="5" t="s">
        <v>15</v>
      </c>
      <c r="E49" s="5">
        <v>44600</v>
      </c>
      <c r="F49" s="5">
        <v>600000</v>
      </c>
      <c r="G49" s="5">
        <f>105000+52449</f>
        <v>157449</v>
      </c>
      <c r="H49" s="5">
        <f t="shared" si="0"/>
        <v>802049</v>
      </c>
    </row>
    <row r="50" spans="1:8" ht="15" customHeight="1" x14ac:dyDescent="0.25">
      <c r="A50" s="3"/>
      <c r="B50" s="4"/>
      <c r="C50" s="4"/>
      <c r="D50" s="5" t="s">
        <v>27</v>
      </c>
      <c r="E50" s="5">
        <v>294000</v>
      </c>
      <c r="F50" s="5">
        <f>392000+98000+300000+100000+98000+450000</f>
        <v>1438000</v>
      </c>
      <c r="G50" s="5">
        <f>35280+20776+14308+2744</f>
        <v>73108</v>
      </c>
      <c r="H50" s="5">
        <f t="shared" si="0"/>
        <v>1805108</v>
      </c>
    </row>
    <row r="51" spans="1:8" ht="15" customHeight="1" x14ac:dyDescent="0.25">
      <c r="A51" s="3"/>
      <c r="B51" s="4"/>
      <c r="C51" s="4"/>
      <c r="D51" s="5" t="s">
        <v>13</v>
      </c>
      <c r="E51" s="5">
        <v>73500</v>
      </c>
      <c r="F51" s="5">
        <v>550000</v>
      </c>
      <c r="G51" s="5">
        <f>154651+167073</f>
        <v>321724</v>
      </c>
      <c r="H51" s="5">
        <f t="shared" si="0"/>
        <v>945224</v>
      </c>
    </row>
    <row r="52" spans="1:8" ht="15" customHeight="1" x14ac:dyDescent="0.25">
      <c r="A52" s="3"/>
      <c r="B52" s="4"/>
      <c r="C52" s="4"/>
      <c r="D52" s="5" t="s">
        <v>11</v>
      </c>
      <c r="E52" s="5">
        <v>98000</v>
      </c>
      <c r="F52" s="5">
        <v>600000</v>
      </c>
      <c r="G52" s="5">
        <f>238000+173000</f>
        <v>411000</v>
      </c>
      <c r="H52" s="5">
        <f>SUM(E52:G52)</f>
        <v>1109000</v>
      </c>
    </row>
    <row r="53" spans="1:8" ht="15" customHeight="1" x14ac:dyDescent="0.25">
      <c r="A53" s="3"/>
      <c r="B53" s="4"/>
      <c r="C53" s="4"/>
      <c r="D53" s="5" t="s">
        <v>30</v>
      </c>
      <c r="E53" s="5">
        <v>98000</v>
      </c>
      <c r="F53" s="5">
        <v>992000</v>
      </c>
      <c r="G53" s="5">
        <f>146000*2</f>
        <v>292000</v>
      </c>
      <c r="H53" s="5">
        <f t="shared" si="0"/>
        <v>1382000</v>
      </c>
    </row>
    <row r="54" spans="1:8" s="9" customFormat="1" x14ac:dyDescent="0.25">
      <c r="A54" s="6" t="s">
        <v>7</v>
      </c>
      <c r="B54" s="7" t="s">
        <v>41</v>
      </c>
      <c r="C54" s="28" t="s">
        <v>42</v>
      </c>
      <c r="D54" s="29"/>
      <c r="E54" s="8">
        <f>SUM(E49:E53)</f>
        <v>608100</v>
      </c>
      <c r="F54" s="8">
        <f t="shared" ref="F54:H54" si="9">SUM(F49:F53)</f>
        <v>4180000</v>
      </c>
      <c r="G54" s="8">
        <f t="shared" si="9"/>
        <v>1255281</v>
      </c>
      <c r="H54" s="8">
        <f t="shared" si="9"/>
        <v>6043381</v>
      </c>
    </row>
    <row r="55" spans="1:8" ht="15" customHeight="1" x14ac:dyDescent="0.25">
      <c r="A55" s="3" t="s">
        <v>43</v>
      </c>
      <c r="B55" s="4" t="s">
        <v>44</v>
      </c>
      <c r="C55" s="4" t="s">
        <v>45</v>
      </c>
      <c r="D55" s="5" t="s">
        <v>27</v>
      </c>
      <c r="E55" s="5">
        <v>24500</v>
      </c>
      <c r="F55" s="5">
        <v>300000</v>
      </c>
      <c r="G55" s="5">
        <f>35280*2</f>
        <v>70560</v>
      </c>
      <c r="H55" s="5">
        <f t="shared" ref="H55:H112" si="10">SUM(E55:G55)</f>
        <v>395060</v>
      </c>
    </row>
    <row r="56" spans="1:8" ht="15" customHeight="1" x14ac:dyDescent="0.25">
      <c r="A56" s="3"/>
      <c r="B56" s="4"/>
      <c r="C56" s="4"/>
      <c r="D56" s="5" t="s">
        <v>27</v>
      </c>
      <c r="E56" s="5">
        <v>49000</v>
      </c>
      <c r="F56" s="5">
        <v>500000</v>
      </c>
      <c r="G56" s="5">
        <f>35280*2</f>
        <v>70560</v>
      </c>
      <c r="H56" s="5">
        <f t="shared" si="10"/>
        <v>619560</v>
      </c>
    </row>
    <row r="57" spans="1:8" s="9" customFormat="1" x14ac:dyDescent="0.25">
      <c r="A57" s="6" t="s">
        <v>7</v>
      </c>
      <c r="B57" s="7" t="s">
        <v>44</v>
      </c>
      <c r="C57" s="28" t="s">
        <v>45</v>
      </c>
      <c r="D57" s="29"/>
      <c r="E57" s="8">
        <f>SUM(E55:E56)</f>
        <v>73500</v>
      </c>
      <c r="F57" s="8">
        <f t="shared" ref="F57:H57" si="11">SUM(F55:F56)</f>
        <v>800000</v>
      </c>
      <c r="G57" s="8">
        <f t="shared" si="11"/>
        <v>141120</v>
      </c>
      <c r="H57" s="8">
        <f t="shared" si="11"/>
        <v>1014620</v>
      </c>
    </row>
    <row r="58" spans="1:8" ht="15" customHeight="1" x14ac:dyDescent="0.25">
      <c r="A58" s="3" t="s">
        <v>46</v>
      </c>
      <c r="B58" s="4" t="s">
        <v>47</v>
      </c>
      <c r="C58" s="4" t="s">
        <v>19</v>
      </c>
      <c r="D58" s="5" t="s">
        <v>15</v>
      </c>
      <c r="E58" s="5">
        <v>44600</v>
      </c>
      <c r="F58" s="5">
        <v>400000</v>
      </c>
      <c r="G58" s="5">
        <f>112070+54824</f>
        <v>166894</v>
      </c>
      <c r="H58" s="5">
        <f t="shared" si="10"/>
        <v>611494</v>
      </c>
    </row>
    <row r="59" spans="1:8" ht="15" customHeight="1" x14ac:dyDescent="0.25">
      <c r="A59" s="3"/>
      <c r="B59" s="4"/>
      <c r="C59" s="4"/>
      <c r="D59" s="5" t="s">
        <v>11</v>
      </c>
      <c r="E59" s="5">
        <v>44600</v>
      </c>
      <c r="F59" s="5">
        <v>400000</v>
      </c>
      <c r="G59" s="5">
        <f>152320+103370</f>
        <v>255690</v>
      </c>
      <c r="H59" s="5">
        <f t="shared" si="10"/>
        <v>700290</v>
      </c>
    </row>
    <row r="60" spans="1:8" ht="15" customHeight="1" x14ac:dyDescent="0.25">
      <c r="A60" s="3"/>
      <c r="B60" s="4"/>
      <c r="C60" s="4"/>
      <c r="D60" s="5" t="s">
        <v>12</v>
      </c>
      <c r="E60" s="5">
        <v>73590</v>
      </c>
      <c r="F60" s="5">
        <v>900000</v>
      </c>
      <c r="G60" s="5">
        <f>52592*2</f>
        <v>105184</v>
      </c>
      <c r="H60" s="5">
        <f t="shared" si="10"/>
        <v>1078774</v>
      </c>
    </row>
    <row r="61" spans="1:8" ht="15" customHeight="1" x14ac:dyDescent="0.25">
      <c r="A61" s="3"/>
      <c r="B61" s="4"/>
      <c r="C61" s="4"/>
      <c r="D61" s="5" t="s">
        <v>12</v>
      </c>
      <c r="E61" s="5">
        <v>111500</v>
      </c>
      <c r="F61" s="5">
        <v>1250000</v>
      </c>
      <c r="G61" s="5">
        <f>57445*2</f>
        <v>114890</v>
      </c>
      <c r="H61" s="5">
        <f t="shared" si="10"/>
        <v>1476390</v>
      </c>
    </row>
    <row r="62" spans="1:8" ht="15" customHeight="1" x14ac:dyDescent="0.25">
      <c r="A62" s="3"/>
      <c r="B62" s="4"/>
      <c r="C62" s="4"/>
      <c r="D62" s="5" t="s">
        <v>13</v>
      </c>
      <c r="E62" s="5">
        <v>98000</v>
      </c>
      <c r="F62" s="5">
        <f>480000+155000</f>
        <v>635000</v>
      </c>
      <c r="G62" s="5">
        <f>65220+55664</f>
        <v>120884</v>
      </c>
      <c r="H62" s="5">
        <f t="shared" si="10"/>
        <v>853884</v>
      </c>
    </row>
    <row r="63" spans="1:8" ht="15" customHeight="1" x14ac:dyDescent="0.25">
      <c r="A63" s="3"/>
      <c r="B63" s="4"/>
      <c r="C63" s="4"/>
      <c r="D63" s="5" t="s">
        <v>27</v>
      </c>
      <c r="E63" s="5">
        <v>24500</v>
      </c>
      <c r="F63" s="5">
        <v>150000</v>
      </c>
      <c r="G63" s="5"/>
      <c r="H63" s="5">
        <f t="shared" si="10"/>
        <v>174500</v>
      </c>
    </row>
    <row r="64" spans="1:8" ht="15" customHeight="1" x14ac:dyDescent="0.25">
      <c r="A64" s="3"/>
      <c r="B64" s="4"/>
      <c r="C64" s="4"/>
      <c r="D64" s="5" t="s">
        <v>12</v>
      </c>
      <c r="E64" s="5">
        <v>73500</v>
      </c>
      <c r="F64" s="5">
        <v>810000</v>
      </c>
      <c r="G64" s="5">
        <f>113150+60564</f>
        <v>173714</v>
      </c>
      <c r="H64" s="5">
        <f t="shared" si="10"/>
        <v>1057214</v>
      </c>
    </row>
    <row r="65" spans="1:8" ht="15" customHeight="1" x14ac:dyDescent="0.25">
      <c r="A65" s="3"/>
      <c r="B65" s="4"/>
      <c r="C65" s="15"/>
      <c r="D65" s="16" t="s">
        <v>14</v>
      </c>
      <c r="E65" s="5">
        <v>108000</v>
      </c>
      <c r="F65" s="5">
        <f>300000+660000</f>
        <v>960000</v>
      </c>
      <c r="G65" s="5">
        <f>578343+118800+143060</f>
        <v>840203</v>
      </c>
      <c r="H65" s="5">
        <f t="shared" ref="H65" si="12">SUM(E65:G65)</f>
        <v>1908203</v>
      </c>
    </row>
    <row r="66" spans="1:8" s="9" customFormat="1" x14ac:dyDescent="0.25">
      <c r="A66" s="6" t="s">
        <v>7</v>
      </c>
      <c r="B66" s="7" t="s">
        <v>47</v>
      </c>
      <c r="C66" s="28" t="s">
        <v>19</v>
      </c>
      <c r="D66" s="29"/>
      <c r="E66" s="8">
        <f>SUM(E58:E65)</f>
        <v>578290</v>
      </c>
      <c r="F66" s="8">
        <f t="shared" ref="F66:H66" si="13">SUM(F58:F65)</f>
        <v>5505000</v>
      </c>
      <c r="G66" s="8">
        <f t="shared" si="13"/>
        <v>1777459</v>
      </c>
      <c r="H66" s="8">
        <f t="shared" si="13"/>
        <v>7860749</v>
      </c>
    </row>
    <row r="67" spans="1:8" ht="15" customHeight="1" x14ac:dyDescent="0.25">
      <c r="A67" s="3" t="s">
        <v>48</v>
      </c>
      <c r="B67" s="4" t="s">
        <v>49</v>
      </c>
      <c r="C67" s="4" t="s">
        <v>50</v>
      </c>
      <c r="D67" s="5" t="s">
        <v>13</v>
      </c>
      <c r="E67" s="5">
        <v>147000</v>
      </c>
      <c r="F67" s="5">
        <v>1950000</v>
      </c>
      <c r="G67" s="5"/>
      <c r="H67" s="5">
        <f t="shared" si="10"/>
        <v>2097000</v>
      </c>
    </row>
    <row r="68" spans="1:8" ht="15" customHeight="1" x14ac:dyDescent="0.25">
      <c r="A68" s="3"/>
      <c r="B68" s="4"/>
      <c r="C68" s="4"/>
      <c r="D68" s="5" t="s">
        <v>11</v>
      </c>
      <c r="E68" s="5">
        <v>66900</v>
      </c>
      <c r="F68" s="5">
        <v>400000</v>
      </c>
      <c r="G68" s="5">
        <f>268550+103370</f>
        <v>371920</v>
      </c>
      <c r="H68" s="5">
        <f t="shared" si="10"/>
        <v>838820</v>
      </c>
    </row>
    <row r="69" spans="1:8" ht="15" customHeight="1" x14ac:dyDescent="0.25">
      <c r="A69" s="3"/>
      <c r="B69" s="4"/>
      <c r="C69" s="4"/>
      <c r="D69" s="5" t="s">
        <v>21</v>
      </c>
      <c r="E69" s="5">
        <v>89200</v>
      </c>
      <c r="F69" s="5">
        <v>990000</v>
      </c>
      <c r="G69" s="5">
        <f>223240+911304</f>
        <v>1134544</v>
      </c>
      <c r="H69" s="5">
        <f t="shared" si="10"/>
        <v>2213744</v>
      </c>
    </row>
    <row r="70" spans="1:8" ht="15" customHeight="1" x14ac:dyDescent="0.25">
      <c r="A70" s="3"/>
      <c r="B70" s="4"/>
      <c r="C70" s="4"/>
      <c r="D70" s="5" t="s">
        <v>12</v>
      </c>
      <c r="E70" s="5">
        <v>73590</v>
      </c>
      <c r="F70" s="5">
        <v>1050000</v>
      </c>
      <c r="G70" s="5"/>
      <c r="H70" s="5">
        <f t="shared" si="10"/>
        <v>1123590</v>
      </c>
    </row>
    <row r="71" spans="1:8" ht="15" customHeight="1" x14ac:dyDescent="0.25">
      <c r="A71" s="3"/>
      <c r="B71" s="4"/>
      <c r="C71" s="4"/>
      <c r="D71" s="5" t="s">
        <v>14</v>
      </c>
      <c r="E71" s="5">
        <v>49000</v>
      </c>
      <c r="F71" s="5">
        <v>350000</v>
      </c>
      <c r="G71" s="5">
        <f>860761+1696903</f>
        <v>2557664</v>
      </c>
      <c r="H71" s="5">
        <f t="shared" si="10"/>
        <v>2956664</v>
      </c>
    </row>
    <row r="72" spans="1:8" ht="15" customHeight="1" x14ac:dyDescent="0.25">
      <c r="A72" s="3"/>
      <c r="B72" s="4"/>
      <c r="C72" s="4"/>
      <c r="D72" s="5" t="s">
        <v>15</v>
      </c>
      <c r="E72" s="5">
        <v>73500</v>
      </c>
      <c r="F72" s="5">
        <v>940000</v>
      </c>
      <c r="G72" s="5"/>
      <c r="H72" s="5">
        <f t="shared" si="10"/>
        <v>1013500</v>
      </c>
    </row>
    <row r="73" spans="1:8" ht="15" customHeight="1" x14ac:dyDescent="0.25">
      <c r="A73" s="3"/>
      <c r="B73" s="4"/>
      <c r="C73" s="4"/>
      <c r="D73" s="5" t="s">
        <v>16</v>
      </c>
      <c r="E73" s="5">
        <v>49000</v>
      </c>
      <c r="F73" s="5">
        <v>320000</v>
      </c>
      <c r="G73" s="5">
        <f>153655+67424</f>
        <v>221079</v>
      </c>
      <c r="H73" s="5">
        <f t="shared" si="10"/>
        <v>590079</v>
      </c>
    </row>
    <row r="74" spans="1:8" ht="15" customHeight="1" x14ac:dyDescent="0.25">
      <c r="A74" s="3"/>
      <c r="B74" s="4"/>
      <c r="C74" s="4"/>
      <c r="D74" s="5" t="s">
        <v>16</v>
      </c>
      <c r="E74" s="5">
        <v>73500</v>
      </c>
      <c r="F74" s="5">
        <v>670000</v>
      </c>
      <c r="G74" s="5"/>
      <c r="H74" s="5">
        <f t="shared" si="10"/>
        <v>743500</v>
      </c>
    </row>
    <row r="75" spans="1:8" ht="15" customHeight="1" x14ac:dyDescent="0.25">
      <c r="A75" s="3"/>
      <c r="B75" s="4"/>
      <c r="C75" s="15"/>
      <c r="D75" s="16" t="s">
        <v>14</v>
      </c>
      <c r="E75" s="5">
        <v>162000</v>
      </c>
      <c r="F75" s="5"/>
      <c r="G75" s="5">
        <f>1634448+125727+477762+519054+479695</f>
        <v>3236686</v>
      </c>
      <c r="H75" s="5">
        <f t="shared" si="10"/>
        <v>3398686</v>
      </c>
    </row>
    <row r="76" spans="1:8" ht="15" customHeight="1" x14ac:dyDescent="0.25">
      <c r="A76" s="3"/>
      <c r="B76" s="4"/>
      <c r="C76" s="15"/>
      <c r="D76" s="16" t="s">
        <v>12</v>
      </c>
      <c r="E76" s="5">
        <v>54000</v>
      </c>
      <c r="F76" s="5">
        <f>250000+300000</f>
        <v>550000</v>
      </c>
      <c r="G76" s="5"/>
      <c r="H76" s="5">
        <f t="shared" si="10"/>
        <v>604000</v>
      </c>
    </row>
    <row r="77" spans="1:8" s="9" customFormat="1" x14ac:dyDescent="0.25">
      <c r="A77" s="6" t="s">
        <v>7</v>
      </c>
      <c r="B77" s="7" t="s">
        <v>49</v>
      </c>
      <c r="C77" s="28" t="s">
        <v>50</v>
      </c>
      <c r="D77" s="29"/>
      <c r="E77" s="8">
        <f>SUM(E67:E76)</f>
        <v>837690</v>
      </c>
      <c r="F77" s="8">
        <f t="shared" ref="F77:H77" si="14">SUM(F67:F76)</f>
        <v>7220000</v>
      </c>
      <c r="G77" s="8">
        <f t="shared" si="14"/>
        <v>7521893</v>
      </c>
      <c r="H77" s="8">
        <f t="shared" si="14"/>
        <v>15579583</v>
      </c>
    </row>
    <row r="78" spans="1:8" ht="15" customHeight="1" x14ac:dyDescent="0.25">
      <c r="A78" s="3" t="s">
        <v>51</v>
      </c>
      <c r="B78" s="4" t="s">
        <v>52</v>
      </c>
      <c r="C78" s="4" t="s">
        <v>53</v>
      </c>
      <c r="D78" s="5" t="s">
        <v>15</v>
      </c>
      <c r="E78" s="5">
        <v>44600</v>
      </c>
      <c r="F78" s="5">
        <v>200000</v>
      </c>
      <c r="G78" s="5">
        <v>104899</v>
      </c>
      <c r="H78" s="5">
        <f t="shared" si="10"/>
        <v>349499</v>
      </c>
    </row>
    <row r="79" spans="1:8" ht="15" customHeight="1" x14ac:dyDescent="0.25">
      <c r="A79" s="3"/>
      <c r="B79" s="4"/>
      <c r="C79" s="4"/>
      <c r="D79" s="5" t="s">
        <v>27</v>
      </c>
      <c r="E79" s="5">
        <v>44600</v>
      </c>
      <c r="F79" s="5">
        <v>170000</v>
      </c>
      <c r="G79" s="5">
        <v>64224</v>
      </c>
      <c r="H79" s="5">
        <f t="shared" si="10"/>
        <v>278824</v>
      </c>
    </row>
    <row r="80" spans="1:8" ht="15" customHeight="1" x14ac:dyDescent="0.25">
      <c r="A80" s="3"/>
      <c r="B80" s="4"/>
      <c r="C80" s="4"/>
      <c r="D80" s="5" t="s">
        <v>12</v>
      </c>
      <c r="E80" s="5">
        <v>66900</v>
      </c>
      <c r="F80" s="5">
        <v>690000</v>
      </c>
      <c r="G80" s="5">
        <v>114889.4</v>
      </c>
      <c r="H80" s="5">
        <f t="shared" si="10"/>
        <v>871789.4</v>
      </c>
    </row>
    <row r="81" spans="1:8" ht="15" customHeight="1" x14ac:dyDescent="0.25">
      <c r="A81" s="3"/>
      <c r="B81" s="4"/>
      <c r="C81" s="4"/>
      <c r="D81" s="5" t="s">
        <v>13</v>
      </c>
      <c r="E81" s="5">
        <v>98000</v>
      </c>
      <c r="F81" s="5">
        <v>480000</v>
      </c>
      <c r="G81" s="5">
        <v>114464</v>
      </c>
      <c r="H81" s="5">
        <f t="shared" si="10"/>
        <v>692464</v>
      </c>
    </row>
    <row r="82" spans="1:8" ht="15" customHeight="1" x14ac:dyDescent="0.25">
      <c r="A82" s="3"/>
      <c r="B82" s="4"/>
      <c r="C82" s="4"/>
      <c r="D82" s="5" t="s">
        <v>16</v>
      </c>
      <c r="E82" s="5">
        <v>73500</v>
      </c>
      <c r="F82" s="5">
        <f>49000+440000</f>
        <v>489000</v>
      </c>
      <c r="G82" s="5">
        <v>137200</v>
      </c>
      <c r="H82" s="5">
        <f t="shared" si="10"/>
        <v>699700</v>
      </c>
    </row>
    <row r="83" spans="1:8" ht="15" customHeight="1" x14ac:dyDescent="0.25">
      <c r="A83" s="3"/>
      <c r="B83" s="4"/>
      <c r="C83" s="4"/>
      <c r="D83" s="5" t="s">
        <v>27</v>
      </c>
      <c r="E83" s="5">
        <v>24500</v>
      </c>
      <c r="F83" s="5">
        <v>49000</v>
      </c>
      <c r="G83" s="5">
        <v>70560</v>
      </c>
      <c r="H83" s="5">
        <f t="shared" si="10"/>
        <v>144060</v>
      </c>
    </row>
    <row r="84" spans="1:8" ht="15" customHeight="1" x14ac:dyDescent="0.25">
      <c r="A84" s="3"/>
      <c r="B84" s="4"/>
      <c r="C84" s="4"/>
      <c r="D84" s="5" t="s">
        <v>27</v>
      </c>
      <c r="E84" s="5">
        <v>49000</v>
      </c>
      <c r="F84" s="5">
        <f>160000+49000</f>
        <v>209000</v>
      </c>
      <c r="G84" s="5">
        <v>70560</v>
      </c>
      <c r="H84" s="5">
        <f t="shared" si="10"/>
        <v>328560</v>
      </c>
    </row>
    <row r="85" spans="1:8" ht="15" customHeight="1" x14ac:dyDescent="0.25">
      <c r="A85" s="3"/>
      <c r="B85" s="4"/>
      <c r="C85" s="4"/>
      <c r="D85" s="5" t="s">
        <v>15</v>
      </c>
      <c r="E85" s="5">
        <v>98000</v>
      </c>
      <c r="F85" s="5">
        <v>1120000</v>
      </c>
      <c r="G85" s="5">
        <f>117750+142000</f>
        <v>259750</v>
      </c>
      <c r="H85" s="5">
        <f t="shared" si="10"/>
        <v>1477750</v>
      </c>
    </row>
    <row r="86" spans="1:8" ht="15" customHeight="1" x14ac:dyDescent="0.25">
      <c r="A86" s="3"/>
      <c r="B86" s="4"/>
      <c r="C86" s="4"/>
      <c r="D86" s="5" t="s">
        <v>30</v>
      </c>
      <c r="E86" s="5">
        <v>73500</v>
      </c>
      <c r="F86" s="5">
        <v>600000</v>
      </c>
      <c r="G86" s="5">
        <v>170128</v>
      </c>
      <c r="H86" s="5">
        <f t="shared" si="10"/>
        <v>843628</v>
      </c>
    </row>
    <row r="87" spans="1:8" ht="15" customHeight="1" x14ac:dyDescent="0.25">
      <c r="A87" s="3"/>
      <c r="B87" s="4"/>
      <c r="C87" s="4"/>
      <c r="D87" s="5" t="s">
        <v>21</v>
      </c>
      <c r="E87" s="5">
        <v>24500</v>
      </c>
      <c r="F87" s="5">
        <v>220000</v>
      </c>
      <c r="G87" s="5">
        <v>887646</v>
      </c>
      <c r="H87" s="5">
        <f>SUM(E87:G87)</f>
        <v>1132146</v>
      </c>
    </row>
    <row r="88" spans="1:8" ht="15" customHeight="1" x14ac:dyDescent="0.25">
      <c r="A88" s="3"/>
      <c r="B88" s="4"/>
      <c r="C88" s="4"/>
      <c r="D88" s="5" t="s">
        <v>54</v>
      </c>
      <c r="E88" s="5">
        <v>196000</v>
      </c>
      <c r="F88" s="5">
        <f>320000+400000+294000</f>
        <v>1014000</v>
      </c>
      <c r="G88" s="5">
        <f>66640+74872</f>
        <v>141512</v>
      </c>
      <c r="H88" s="5">
        <f t="shared" ref="H88" si="15">SUM(E88:G88)</f>
        <v>1351512</v>
      </c>
    </row>
    <row r="89" spans="1:8" ht="15" customHeight="1" x14ac:dyDescent="0.25">
      <c r="A89" s="3"/>
      <c r="B89" s="4"/>
      <c r="C89" s="4"/>
      <c r="D89" s="5" t="s">
        <v>13</v>
      </c>
      <c r="E89" s="5">
        <v>122500</v>
      </c>
      <c r="F89" s="5">
        <f>185000+196000</f>
        <v>381000</v>
      </c>
      <c r="G89" s="5">
        <v>104185.60000000001</v>
      </c>
      <c r="H89" s="5">
        <f t="shared" si="10"/>
        <v>607685.6</v>
      </c>
    </row>
    <row r="90" spans="1:8" s="9" customFormat="1" x14ac:dyDescent="0.25">
      <c r="A90" s="6" t="s">
        <v>7</v>
      </c>
      <c r="B90" s="7" t="s">
        <v>52</v>
      </c>
      <c r="C90" s="28" t="s">
        <v>53</v>
      </c>
      <c r="D90" s="29"/>
      <c r="E90" s="8">
        <f>SUM(E78:E89)</f>
        <v>915600</v>
      </c>
      <c r="F90" s="8">
        <f t="shared" ref="F90:H90" si="16">SUM(F78:F89)</f>
        <v>5622000</v>
      </c>
      <c r="G90" s="8">
        <f t="shared" si="16"/>
        <v>2240018</v>
      </c>
      <c r="H90" s="8">
        <f t="shared" si="16"/>
        <v>8777618</v>
      </c>
    </row>
    <row r="91" spans="1:8" ht="15" customHeight="1" x14ac:dyDescent="0.25">
      <c r="A91" s="3" t="s">
        <v>55</v>
      </c>
      <c r="B91" s="4" t="s">
        <v>56</v>
      </c>
      <c r="C91" s="4" t="s">
        <v>24</v>
      </c>
      <c r="D91" s="5" t="s">
        <v>30</v>
      </c>
      <c r="E91" s="5">
        <v>58800</v>
      </c>
      <c r="F91" s="5">
        <v>543000</v>
      </c>
      <c r="G91" s="5">
        <f>28420*2</f>
        <v>56840</v>
      </c>
      <c r="H91" s="5">
        <f t="shared" si="10"/>
        <v>658640</v>
      </c>
    </row>
    <row r="92" spans="1:8" s="9" customFormat="1" x14ac:dyDescent="0.25">
      <c r="A92" s="6" t="s">
        <v>7</v>
      </c>
      <c r="B92" s="7" t="s">
        <v>56</v>
      </c>
      <c r="C92" s="28" t="s">
        <v>24</v>
      </c>
      <c r="D92" s="29"/>
      <c r="E92" s="8">
        <f>SUM(E91)</f>
        <v>58800</v>
      </c>
      <c r="F92" s="8">
        <f t="shared" ref="F92:H92" si="17">SUM(F91)</f>
        <v>543000</v>
      </c>
      <c r="G92" s="8">
        <f t="shared" si="17"/>
        <v>56840</v>
      </c>
      <c r="H92" s="8">
        <f t="shared" si="17"/>
        <v>658640</v>
      </c>
    </row>
    <row r="93" spans="1:8" ht="15" customHeight="1" x14ac:dyDescent="0.25">
      <c r="A93" s="3" t="s">
        <v>57</v>
      </c>
      <c r="B93" s="4" t="s">
        <v>58</v>
      </c>
      <c r="C93" s="4" t="s">
        <v>24</v>
      </c>
      <c r="D93" s="5" t="s">
        <v>16</v>
      </c>
      <c r="E93" s="5">
        <v>235200</v>
      </c>
      <c r="F93" s="5">
        <f>170000+1710000</f>
        <v>1880000</v>
      </c>
      <c r="G93" s="5">
        <f>20188*2</f>
        <v>40376</v>
      </c>
      <c r="H93" s="5">
        <f t="shared" si="10"/>
        <v>2155576</v>
      </c>
    </row>
    <row r="94" spans="1:8" s="9" customFormat="1" x14ac:dyDescent="0.25">
      <c r="A94" s="6" t="s">
        <v>7</v>
      </c>
      <c r="B94" s="7" t="s">
        <v>58</v>
      </c>
      <c r="C94" s="28" t="s">
        <v>24</v>
      </c>
      <c r="D94" s="29"/>
      <c r="E94" s="8">
        <f>SUM(E93)</f>
        <v>235200</v>
      </c>
      <c r="F94" s="8">
        <f t="shared" ref="F94:H94" si="18">SUM(F93)</f>
        <v>1880000</v>
      </c>
      <c r="G94" s="8">
        <f t="shared" si="18"/>
        <v>40376</v>
      </c>
      <c r="H94" s="8">
        <f t="shared" si="18"/>
        <v>2155576</v>
      </c>
    </row>
    <row r="95" spans="1:8" ht="15" customHeight="1" x14ac:dyDescent="0.25">
      <c r="A95" s="3" t="s">
        <v>59</v>
      </c>
      <c r="B95" s="4" t="s">
        <v>60</v>
      </c>
      <c r="C95" s="4" t="s">
        <v>61</v>
      </c>
      <c r="D95" s="5" t="s">
        <v>11</v>
      </c>
      <c r="E95" s="5">
        <v>89200</v>
      </c>
      <c r="F95" s="5">
        <v>1800000</v>
      </c>
      <c r="G95" s="5"/>
      <c r="H95" s="5">
        <f t="shared" si="10"/>
        <v>1889200</v>
      </c>
    </row>
    <row r="96" spans="1:8" ht="15" customHeight="1" x14ac:dyDescent="0.25">
      <c r="A96" s="3"/>
      <c r="B96" s="4"/>
      <c r="C96" s="4"/>
      <c r="D96" s="5" t="s">
        <v>12</v>
      </c>
      <c r="E96" s="5">
        <v>73590</v>
      </c>
      <c r="F96" s="5">
        <v>1040000</v>
      </c>
      <c r="G96" s="5"/>
      <c r="H96" s="5">
        <f t="shared" si="10"/>
        <v>1113590</v>
      </c>
    </row>
    <row r="97" spans="1:8" ht="15" customHeight="1" x14ac:dyDescent="0.25">
      <c r="A97" s="3"/>
      <c r="B97" s="4"/>
      <c r="C97" s="4"/>
      <c r="D97" s="5" t="s">
        <v>13</v>
      </c>
      <c r="E97" s="5">
        <v>220500</v>
      </c>
      <c r="F97" s="5">
        <v>1650000</v>
      </c>
      <c r="G97" s="5"/>
      <c r="H97" s="5">
        <f t="shared" si="10"/>
        <v>1870500</v>
      </c>
    </row>
    <row r="98" spans="1:8" ht="15" customHeight="1" x14ac:dyDescent="0.25">
      <c r="A98" s="3"/>
      <c r="B98" s="4"/>
      <c r="C98" s="4"/>
      <c r="D98" s="5" t="s">
        <v>15</v>
      </c>
      <c r="E98" s="5">
        <v>98000</v>
      </c>
      <c r="F98" s="5">
        <v>3000000</v>
      </c>
      <c r="G98" s="5"/>
      <c r="H98" s="5">
        <f t="shared" si="10"/>
        <v>3098000</v>
      </c>
    </row>
    <row r="99" spans="1:8" ht="15" customHeight="1" x14ac:dyDescent="0.25">
      <c r="A99" s="3"/>
      <c r="B99" s="4"/>
      <c r="C99" s="4"/>
      <c r="D99" s="5" t="s">
        <v>14</v>
      </c>
      <c r="E99" s="5">
        <v>24500</v>
      </c>
      <c r="F99" s="5"/>
      <c r="G99" s="5">
        <f>458496+523165</f>
        <v>981661</v>
      </c>
      <c r="H99" s="5">
        <f t="shared" si="10"/>
        <v>1006161</v>
      </c>
    </row>
    <row r="100" spans="1:8" ht="15" customHeight="1" x14ac:dyDescent="0.25">
      <c r="A100" s="3"/>
      <c r="B100" s="4"/>
      <c r="C100" s="4"/>
      <c r="D100" s="5" t="s">
        <v>16</v>
      </c>
      <c r="E100" s="5">
        <v>73500</v>
      </c>
      <c r="F100" s="5">
        <v>750000</v>
      </c>
      <c r="G100" s="5"/>
      <c r="H100" s="5">
        <f t="shared" si="10"/>
        <v>823500</v>
      </c>
    </row>
    <row r="101" spans="1:8" ht="15" customHeight="1" x14ac:dyDescent="0.25">
      <c r="A101" s="3"/>
      <c r="B101" s="4"/>
      <c r="C101" s="4"/>
      <c r="D101" s="5" t="s">
        <v>34</v>
      </c>
      <c r="E101" s="5">
        <v>73500</v>
      </c>
      <c r="F101" s="5">
        <v>735000</v>
      </c>
      <c r="G101" s="5">
        <f>503578+477753</f>
        <v>981331</v>
      </c>
      <c r="H101" s="5">
        <f t="shared" si="10"/>
        <v>1789831</v>
      </c>
    </row>
    <row r="102" spans="1:8" ht="15" customHeight="1" x14ac:dyDescent="0.25">
      <c r="A102" s="3"/>
      <c r="B102" s="4"/>
      <c r="C102" s="15"/>
      <c r="D102" s="16" t="s">
        <v>12</v>
      </c>
      <c r="E102" s="5">
        <v>27000</v>
      </c>
      <c r="F102" s="5">
        <v>360000</v>
      </c>
      <c r="G102" s="5"/>
      <c r="H102" s="5">
        <f t="shared" si="10"/>
        <v>387000</v>
      </c>
    </row>
    <row r="103" spans="1:8" ht="15" customHeight="1" x14ac:dyDescent="0.25">
      <c r="A103" s="3"/>
      <c r="B103" s="4"/>
      <c r="C103" s="15"/>
      <c r="D103" s="16" t="s">
        <v>14</v>
      </c>
      <c r="E103" s="5">
        <v>162000</v>
      </c>
      <c r="F103" s="5">
        <f>525000+1600000</f>
        <v>2125000</v>
      </c>
      <c r="G103" s="5">
        <f>1357850+1163000</f>
        <v>2520850</v>
      </c>
      <c r="H103" s="5">
        <f t="shared" si="10"/>
        <v>4807850</v>
      </c>
    </row>
    <row r="104" spans="1:8" s="9" customFormat="1" x14ac:dyDescent="0.25">
      <c r="A104" s="6" t="s">
        <v>7</v>
      </c>
      <c r="B104" s="7" t="s">
        <v>60</v>
      </c>
      <c r="C104" s="28" t="s">
        <v>61</v>
      </c>
      <c r="D104" s="29"/>
      <c r="E104" s="8">
        <f>SUM(E95:E103)</f>
        <v>841790</v>
      </c>
      <c r="F104" s="8">
        <f t="shared" ref="F104:H104" si="19">SUM(F95:F103)</f>
        <v>11460000</v>
      </c>
      <c r="G104" s="8">
        <f t="shared" si="19"/>
        <v>4483842</v>
      </c>
      <c r="H104" s="8">
        <f t="shared" si="19"/>
        <v>16785632</v>
      </c>
    </row>
    <row r="105" spans="1:8" ht="15" customHeight="1" x14ac:dyDescent="0.25">
      <c r="A105" s="3" t="s">
        <v>62</v>
      </c>
      <c r="B105" s="4" t="s">
        <v>63</v>
      </c>
      <c r="C105" s="4" t="s">
        <v>42</v>
      </c>
      <c r="D105" s="5" t="s">
        <v>11</v>
      </c>
      <c r="E105" s="5">
        <v>294000</v>
      </c>
      <c r="F105" s="5">
        <f>1170000+450000</f>
        <v>1620000</v>
      </c>
      <c r="G105" s="5">
        <f>108192+20776+88200</f>
        <v>217168</v>
      </c>
      <c r="H105" s="5">
        <f t="shared" si="10"/>
        <v>2131168</v>
      </c>
    </row>
    <row r="106" spans="1:8" s="9" customFormat="1" x14ac:dyDescent="0.25">
      <c r="A106" s="6" t="s">
        <v>7</v>
      </c>
      <c r="B106" s="7" t="s">
        <v>63</v>
      </c>
      <c r="C106" s="28" t="s">
        <v>42</v>
      </c>
      <c r="D106" s="29"/>
      <c r="E106" s="8">
        <f>SUM(E105)</f>
        <v>294000</v>
      </c>
      <c r="F106" s="8">
        <f t="shared" ref="F106:H106" si="20">SUM(F105)</f>
        <v>1620000</v>
      </c>
      <c r="G106" s="8">
        <f t="shared" si="20"/>
        <v>217168</v>
      </c>
      <c r="H106" s="8">
        <f t="shared" si="20"/>
        <v>2131168</v>
      </c>
    </row>
    <row r="107" spans="1:8" ht="15" customHeight="1" x14ac:dyDescent="0.25">
      <c r="A107" s="3" t="s">
        <v>64</v>
      </c>
      <c r="B107" s="4" t="s">
        <v>65</v>
      </c>
      <c r="C107" s="4" t="s">
        <v>24</v>
      </c>
      <c r="D107" s="5" t="s">
        <v>11</v>
      </c>
      <c r="E107" s="5">
        <v>137200</v>
      </c>
      <c r="F107" s="5">
        <v>343000</v>
      </c>
      <c r="G107" s="5">
        <f>12152*2</f>
        <v>24304</v>
      </c>
      <c r="H107" s="5">
        <f t="shared" si="10"/>
        <v>504504</v>
      </c>
    </row>
    <row r="108" spans="1:8" ht="15" customHeight="1" x14ac:dyDescent="0.25">
      <c r="A108" s="3"/>
      <c r="B108" s="4"/>
      <c r="C108" s="4"/>
      <c r="D108" s="5" t="s">
        <v>21</v>
      </c>
      <c r="E108" s="5">
        <v>372400</v>
      </c>
      <c r="F108" s="5">
        <f>2750000+98000+1000000</f>
        <v>3848000</v>
      </c>
      <c r="G108" s="5">
        <f>86828*2</f>
        <v>173656</v>
      </c>
      <c r="H108" s="5">
        <f t="shared" si="10"/>
        <v>4394056</v>
      </c>
    </row>
    <row r="109" spans="1:8" ht="15" customHeight="1" x14ac:dyDescent="0.25">
      <c r="A109" s="3"/>
      <c r="B109" s="4"/>
      <c r="C109" s="4"/>
      <c r="D109" s="5" t="s">
        <v>11</v>
      </c>
      <c r="E109" s="5">
        <v>117600</v>
      </c>
      <c r="F109" s="5">
        <v>294000</v>
      </c>
      <c r="G109" s="5">
        <f>10780*2</f>
        <v>21560</v>
      </c>
      <c r="H109" s="5">
        <f t="shared" ref="H109" si="21">SUM(E109:G109)</f>
        <v>433160</v>
      </c>
    </row>
    <row r="110" spans="1:8" ht="15" customHeight="1" x14ac:dyDescent="0.25">
      <c r="A110" s="3"/>
      <c r="B110" s="4"/>
      <c r="C110" s="4"/>
      <c r="D110" s="5" t="s">
        <v>11</v>
      </c>
      <c r="E110" s="5">
        <v>117600</v>
      </c>
      <c r="F110" s="5">
        <v>343000</v>
      </c>
      <c r="G110" s="5">
        <f>9212+9212</f>
        <v>18424</v>
      </c>
      <c r="H110" s="5">
        <f t="shared" si="10"/>
        <v>479024</v>
      </c>
    </row>
    <row r="111" spans="1:8" ht="15" customHeight="1" x14ac:dyDescent="0.25">
      <c r="A111" s="3"/>
      <c r="B111" s="4"/>
      <c r="C111" s="4"/>
      <c r="D111" s="5" t="s">
        <v>30</v>
      </c>
      <c r="E111" s="5">
        <v>248000</v>
      </c>
      <c r="F111" s="5">
        <f>248000+147000+951000</f>
        <v>1346000</v>
      </c>
      <c r="G111" s="5">
        <f>31948+31948</f>
        <v>63896</v>
      </c>
      <c r="H111" s="5">
        <f>SUM(E111:G111)</f>
        <v>1657896</v>
      </c>
    </row>
    <row r="112" spans="1:8" ht="15" customHeight="1" x14ac:dyDescent="0.25">
      <c r="A112" s="3"/>
      <c r="B112" s="4"/>
      <c r="C112" s="4"/>
      <c r="D112" s="5" t="s">
        <v>11</v>
      </c>
      <c r="E112" s="5">
        <v>548800</v>
      </c>
      <c r="F112" s="5">
        <v>1372000</v>
      </c>
      <c r="G112" s="5">
        <f>9212+9212</f>
        <v>18424</v>
      </c>
      <c r="H112" s="5">
        <f t="shared" si="10"/>
        <v>1939224</v>
      </c>
    </row>
    <row r="113" spans="1:8" s="9" customFormat="1" x14ac:dyDescent="0.25">
      <c r="A113" s="6" t="s">
        <v>7</v>
      </c>
      <c r="B113" s="7" t="s">
        <v>65</v>
      </c>
      <c r="C113" s="28" t="s">
        <v>24</v>
      </c>
      <c r="D113" s="29"/>
      <c r="E113" s="8">
        <f>SUM(E107:E112)</f>
        <v>1541600</v>
      </c>
      <c r="F113" s="8">
        <f t="shared" ref="F113:H113" si="22">SUM(F107:F112)</f>
        <v>7546000</v>
      </c>
      <c r="G113" s="8">
        <f t="shared" si="22"/>
        <v>320264</v>
      </c>
      <c r="H113" s="8">
        <f t="shared" si="22"/>
        <v>9407864</v>
      </c>
    </row>
    <row r="114" spans="1:8" s="9" customFormat="1" x14ac:dyDescent="0.25">
      <c r="A114" s="3" t="s">
        <v>66</v>
      </c>
      <c r="B114" s="4" t="s">
        <v>67</v>
      </c>
      <c r="C114" s="4" t="s">
        <v>68</v>
      </c>
      <c r="D114" s="5" t="s">
        <v>15</v>
      </c>
      <c r="E114" s="5">
        <v>44600</v>
      </c>
      <c r="F114" s="5">
        <v>200000</v>
      </c>
      <c r="G114" s="5">
        <v>104899</v>
      </c>
      <c r="H114" s="5">
        <f>SUM(E114:G114)</f>
        <v>349499</v>
      </c>
    </row>
    <row r="115" spans="1:8" ht="15" customHeight="1" x14ac:dyDescent="0.25">
      <c r="A115" s="3"/>
      <c r="B115" s="4"/>
      <c r="C115" s="4"/>
      <c r="D115" s="5" t="s">
        <v>11</v>
      </c>
      <c r="E115" s="5">
        <v>117600</v>
      </c>
      <c r="F115" s="5">
        <v>343000</v>
      </c>
      <c r="G115" s="5">
        <f>9212+9212</f>
        <v>18424</v>
      </c>
      <c r="H115" s="5">
        <f>SUM(E115:G115)</f>
        <v>479024</v>
      </c>
    </row>
    <row r="116" spans="1:8" s="9" customFormat="1" x14ac:dyDescent="0.25">
      <c r="A116" s="6" t="s">
        <v>7</v>
      </c>
      <c r="B116" s="7" t="s">
        <v>67</v>
      </c>
      <c r="C116" s="28" t="s">
        <v>68</v>
      </c>
      <c r="D116" s="29"/>
      <c r="E116" s="8">
        <f>SUM(E114:E115)</f>
        <v>162200</v>
      </c>
      <c r="F116" s="8">
        <f t="shared" ref="F116:H116" si="23">SUM(F114:F115)</f>
        <v>543000</v>
      </c>
      <c r="G116" s="8">
        <f t="shared" si="23"/>
        <v>123323</v>
      </c>
      <c r="H116" s="8">
        <f t="shared" si="23"/>
        <v>828523</v>
      </c>
    </row>
    <row r="117" spans="1:8" ht="15" customHeight="1" x14ac:dyDescent="0.25">
      <c r="A117" s="3" t="s">
        <v>69</v>
      </c>
      <c r="B117" s="4" t="s">
        <v>70</v>
      </c>
      <c r="C117" s="4" t="s">
        <v>71</v>
      </c>
      <c r="D117" s="5" t="s">
        <v>16</v>
      </c>
      <c r="E117" s="5">
        <v>49000</v>
      </c>
      <c r="F117" s="5">
        <v>440000</v>
      </c>
      <c r="G117" s="5"/>
      <c r="H117" s="5">
        <f>SUM(E117:G117)</f>
        <v>489000</v>
      </c>
    </row>
    <row r="118" spans="1:8" ht="15" customHeight="1" x14ac:dyDescent="0.25">
      <c r="A118" s="3"/>
      <c r="B118" s="4"/>
      <c r="C118" s="4"/>
      <c r="D118" s="5" t="s">
        <v>27</v>
      </c>
      <c r="E118" s="5">
        <v>98000</v>
      </c>
      <c r="F118" s="5">
        <v>1600000</v>
      </c>
      <c r="G118" s="5"/>
      <c r="H118" s="5">
        <f>SUM(E118:G118)</f>
        <v>1698000</v>
      </c>
    </row>
    <row r="119" spans="1:8" ht="15" customHeight="1" x14ac:dyDescent="0.25">
      <c r="A119" s="3"/>
      <c r="B119" s="4"/>
      <c r="C119" s="4"/>
      <c r="D119" s="5" t="s">
        <v>12</v>
      </c>
      <c r="E119" s="5">
        <v>24500</v>
      </c>
      <c r="F119" s="5">
        <v>200000</v>
      </c>
      <c r="G119" s="5"/>
      <c r="H119" s="5">
        <f>SUM(E119:G119)</f>
        <v>224500</v>
      </c>
    </row>
    <row r="120" spans="1:8" ht="15" customHeight="1" x14ac:dyDescent="0.25">
      <c r="A120" s="3"/>
      <c r="B120" s="4"/>
      <c r="C120" s="4"/>
      <c r="D120" s="5" t="s">
        <v>21</v>
      </c>
      <c r="E120" s="5">
        <v>24500</v>
      </c>
      <c r="F120" s="5">
        <v>220000</v>
      </c>
      <c r="G120" s="5">
        <f>594735+1645012</f>
        <v>2239747</v>
      </c>
      <c r="H120" s="5">
        <f>SUM(E120:G120)</f>
        <v>2484247</v>
      </c>
    </row>
    <row r="121" spans="1:8" ht="15" customHeight="1" x14ac:dyDescent="0.25">
      <c r="A121" s="3"/>
      <c r="B121" s="4"/>
      <c r="C121" s="4"/>
      <c r="D121" s="5" t="s">
        <v>14</v>
      </c>
      <c r="E121" s="5">
        <v>27000</v>
      </c>
      <c r="F121" s="5">
        <v>300000</v>
      </c>
      <c r="G121" s="5">
        <f>477762+880088</f>
        <v>1357850</v>
      </c>
      <c r="H121" s="5">
        <f t="shared" ref="H121:H123" si="24">SUM(E121:G121)</f>
        <v>1684850</v>
      </c>
    </row>
    <row r="122" spans="1:8" ht="15" customHeight="1" x14ac:dyDescent="0.25">
      <c r="A122" s="3"/>
      <c r="B122" s="4"/>
      <c r="C122" s="4"/>
      <c r="D122" s="5" t="s">
        <v>14</v>
      </c>
      <c r="E122" s="5">
        <v>108000</v>
      </c>
      <c r="F122" s="5">
        <f>180000+600000</f>
        <v>780000</v>
      </c>
      <c r="G122" s="5">
        <f>569693+593307</f>
        <v>1163000</v>
      </c>
      <c r="H122" s="5">
        <f t="shared" si="24"/>
        <v>2051000</v>
      </c>
    </row>
    <row r="123" spans="1:8" ht="15" customHeight="1" x14ac:dyDescent="0.25">
      <c r="A123" s="3"/>
      <c r="B123" s="4"/>
      <c r="C123" s="4"/>
      <c r="D123" s="5" t="s">
        <v>12</v>
      </c>
      <c r="E123" s="5">
        <v>27000</v>
      </c>
      <c r="F123" s="5">
        <v>440000</v>
      </c>
      <c r="G123" s="5"/>
      <c r="H123" s="5">
        <f t="shared" si="24"/>
        <v>467000</v>
      </c>
    </row>
    <row r="124" spans="1:8" s="9" customFormat="1" x14ac:dyDescent="0.25">
      <c r="A124" s="6" t="s">
        <v>7</v>
      </c>
      <c r="B124" s="10" t="s">
        <v>70</v>
      </c>
      <c r="C124" s="28" t="s">
        <v>71</v>
      </c>
      <c r="D124" s="29"/>
      <c r="E124" s="8">
        <f>SUM(E117:E123)</f>
        <v>358000</v>
      </c>
      <c r="F124" s="8">
        <f t="shared" ref="F124:H124" si="25">SUM(F117:F123)</f>
        <v>3980000</v>
      </c>
      <c r="G124" s="8">
        <f t="shared" si="25"/>
        <v>4760597</v>
      </c>
      <c r="H124" s="8">
        <f t="shared" si="25"/>
        <v>9098597</v>
      </c>
    </row>
    <row r="125" spans="1:8" ht="15" customHeight="1" x14ac:dyDescent="0.25">
      <c r="A125" s="3" t="s">
        <v>72</v>
      </c>
      <c r="B125" s="4" t="s">
        <v>73</v>
      </c>
      <c r="C125" s="4" t="s">
        <v>24</v>
      </c>
      <c r="D125" s="5" t="s">
        <v>30</v>
      </c>
      <c r="E125" s="5">
        <v>313600</v>
      </c>
      <c r="F125" s="5">
        <f>2250000+98000+250000+1000000</f>
        <v>3598000</v>
      </c>
      <c r="G125" s="5">
        <f>48020*2</f>
        <v>96040</v>
      </c>
      <c r="H125" s="5">
        <f>SUM(E125:G125)</f>
        <v>4007640</v>
      </c>
    </row>
    <row r="126" spans="1:8" ht="15" customHeight="1" x14ac:dyDescent="0.25">
      <c r="A126" s="3"/>
      <c r="B126" s="4"/>
      <c r="C126" s="15"/>
      <c r="D126" s="16" t="s">
        <v>141</v>
      </c>
      <c r="E126" s="5">
        <v>431200</v>
      </c>
      <c r="F126" s="5">
        <v>1078000</v>
      </c>
      <c r="G126" s="5">
        <f>17248+17248</f>
        <v>34496</v>
      </c>
      <c r="H126" s="5">
        <f>SUM(E126:G126)</f>
        <v>1543696</v>
      </c>
    </row>
    <row r="127" spans="1:8" s="9" customFormat="1" x14ac:dyDescent="0.25">
      <c r="A127" s="6" t="s">
        <v>7</v>
      </c>
      <c r="B127" s="10" t="s">
        <v>73</v>
      </c>
      <c r="C127" s="28" t="s">
        <v>24</v>
      </c>
      <c r="D127" s="29"/>
      <c r="E127" s="8">
        <f>SUM(E125:E126)</f>
        <v>744800</v>
      </c>
      <c r="F127" s="8">
        <f t="shared" ref="F127:H127" si="26">SUM(F125:F126)</f>
        <v>4676000</v>
      </c>
      <c r="G127" s="8">
        <f t="shared" si="26"/>
        <v>130536</v>
      </c>
      <c r="H127" s="8">
        <f t="shared" si="26"/>
        <v>5551336</v>
      </c>
    </row>
    <row r="128" spans="1:8" ht="15" customHeight="1" x14ac:dyDescent="0.25">
      <c r="A128" s="3" t="s">
        <v>74</v>
      </c>
      <c r="B128" s="4" t="s">
        <v>75</v>
      </c>
      <c r="C128" s="4" t="s">
        <v>24</v>
      </c>
      <c r="D128" s="5" t="s">
        <v>14</v>
      </c>
      <c r="E128" s="5">
        <f>71360+142720</f>
        <v>214080</v>
      </c>
      <c r="F128" s="5">
        <f>356800+178400</f>
        <v>535200</v>
      </c>
      <c r="G128" s="5">
        <f>12131*2</f>
        <v>24262</v>
      </c>
      <c r="H128" s="5">
        <f>SUM(E128:G128)</f>
        <v>773542</v>
      </c>
    </row>
    <row r="129" spans="1:8" ht="15" customHeight="1" x14ac:dyDescent="0.25">
      <c r="A129" s="3"/>
      <c r="B129" s="4"/>
      <c r="C129" s="4"/>
      <c r="D129" s="5" t="s">
        <v>14</v>
      </c>
      <c r="E129" s="5">
        <v>137200</v>
      </c>
      <c r="F129" s="5">
        <v>343000</v>
      </c>
      <c r="G129" s="5">
        <f>28812*2</f>
        <v>57624</v>
      </c>
      <c r="H129" s="5">
        <f>SUM(E129:G129)</f>
        <v>537824</v>
      </c>
    </row>
    <row r="130" spans="1:8" ht="15" customHeight="1" x14ac:dyDescent="0.25">
      <c r="A130" s="3"/>
      <c r="B130" s="4"/>
      <c r="C130" s="4"/>
      <c r="D130" s="5" t="s">
        <v>14</v>
      </c>
      <c r="E130" s="5">
        <f>98000+374640</f>
        <v>472640</v>
      </c>
      <c r="F130" s="5">
        <f>936600+245000</f>
        <v>1181600</v>
      </c>
      <c r="G130" s="5">
        <f>11622+10579</f>
        <v>22201</v>
      </c>
      <c r="H130" s="5">
        <f>SUM(E130:G130)</f>
        <v>1676441</v>
      </c>
    </row>
    <row r="131" spans="1:8" ht="15" customHeight="1" x14ac:dyDescent="0.25">
      <c r="A131" s="3"/>
      <c r="B131" s="4"/>
      <c r="C131" s="4"/>
      <c r="D131" s="5" t="s">
        <v>14</v>
      </c>
      <c r="E131" s="5">
        <v>607600</v>
      </c>
      <c r="F131" s="5">
        <v>1470000</v>
      </c>
      <c r="G131" s="5">
        <f>11622*2</f>
        <v>23244</v>
      </c>
      <c r="H131" s="5">
        <f>SUM(E131:G131)</f>
        <v>2100844</v>
      </c>
    </row>
    <row r="132" spans="1:8" ht="15" customHeight="1" x14ac:dyDescent="0.25">
      <c r="A132" s="3"/>
      <c r="B132" s="4"/>
      <c r="C132" s="4"/>
      <c r="D132" s="5" t="s">
        <v>14</v>
      </c>
      <c r="E132" s="5">
        <v>196000</v>
      </c>
      <c r="F132" s="5">
        <v>441000</v>
      </c>
      <c r="G132" s="5">
        <f>28812*2</f>
        <v>57624</v>
      </c>
      <c r="H132" s="5">
        <f>SUM(E132:G132)</f>
        <v>694624</v>
      </c>
    </row>
    <row r="133" spans="1:8" s="9" customFormat="1" x14ac:dyDescent="0.25">
      <c r="A133" s="6" t="s">
        <v>7</v>
      </c>
      <c r="B133" s="10" t="s">
        <v>75</v>
      </c>
      <c r="C133" s="28" t="s">
        <v>24</v>
      </c>
      <c r="D133" s="29"/>
      <c r="E133" s="8">
        <f>SUM(E128:E132)</f>
        <v>1627520</v>
      </c>
      <c r="F133" s="8">
        <f t="shared" ref="F133:H133" si="27">SUM(F128:F132)</f>
        <v>3970800</v>
      </c>
      <c r="G133" s="8">
        <f t="shared" si="27"/>
        <v>184955</v>
      </c>
      <c r="H133" s="8">
        <f t="shared" si="27"/>
        <v>5783275</v>
      </c>
    </row>
    <row r="134" spans="1:8" ht="15" customHeight="1" x14ac:dyDescent="0.25">
      <c r="A134" s="3" t="s">
        <v>76</v>
      </c>
      <c r="B134" s="4" t="s">
        <v>77</v>
      </c>
      <c r="C134" s="4" t="s">
        <v>42</v>
      </c>
      <c r="D134" s="5" t="s">
        <v>15</v>
      </c>
      <c r="E134" s="5">
        <v>318500</v>
      </c>
      <c r="F134" s="5">
        <f>240000+343000+600000+98000+200000</f>
        <v>1481000</v>
      </c>
      <c r="G134" s="5">
        <f>105000+28420+47432+349096</f>
        <v>529948</v>
      </c>
      <c r="H134" s="5">
        <f t="shared" ref="H134:H138" si="28">SUM(E134:G134)</f>
        <v>2329448</v>
      </c>
    </row>
    <row r="135" spans="1:8" ht="15" customHeight="1" x14ac:dyDescent="0.25">
      <c r="A135" s="3"/>
      <c r="B135" s="4"/>
      <c r="C135" s="4"/>
      <c r="D135" s="5" t="s">
        <v>34</v>
      </c>
      <c r="E135" s="5">
        <v>49000</v>
      </c>
      <c r="F135" s="5">
        <v>0</v>
      </c>
      <c r="G135" s="5">
        <f>378717+491336</f>
        <v>870053</v>
      </c>
      <c r="H135" s="5">
        <f t="shared" si="28"/>
        <v>919053</v>
      </c>
    </row>
    <row r="136" spans="1:8" ht="15" customHeight="1" x14ac:dyDescent="0.25">
      <c r="A136" s="3"/>
      <c r="B136" s="4"/>
      <c r="C136" s="4"/>
      <c r="D136" s="5" t="s">
        <v>11</v>
      </c>
      <c r="E136" s="5">
        <v>24500</v>
      </c>
      <c r="F136" s="5">
        <v>0</v>
      </c>
      <c r="G136" s="5">
        <f>273550+108192</f>
        <v>381742</v>
      </c>
      <c r="H136" s="5">
        <f t="shared" si="28"/>
        <v>406242</v>
      </c>
    </row>
    <row r="137" spans="1:8" ht="15" customHeight="1" x14ac:dyDescent="0.25">
      <c r="A137" s="3"/>
      <c r="B137" s="4"/>
      <c r="C137" s="4"/>
      <c r="D137" s="5" t="s">
        <v>34</v>
      </c>
      <c r="E137" s="5">
        <v>49000</v>
      </c>
      <c r="F137" s="5">
        <f>328000+380000</f>
        <v>708000</v>
      </c>
      <c r="G137" s="5">
        <f>115836+42532+81732</f>
        <v>240100</v>
      </c>
      <c r="H137" s="5">
        <f t="shared" si="28"/>
        <v>997100</v>
      </c>
    </row>
    <row r="138" spans="1:8" ht="15" customHeight="1" x14ac:dyDescent="0.25">
      <c r="A138" s="3"/>
      <c r="B138" s="4"/>
      <c r="C138" s="4"/>
      <c r="D138" s="5" t="s">
        <v>15</v>
      </c>
      <c r="E138" s="5">
        <v>98000</v>
      </c>
      <c r="F138" s="5">
        <f>340000+500000</f>
        <v>840000</v>
      </c>
      <c r="G138" s="5">
        <f>57624+22540+35280</f>
        <v>115444</v>
      </c>
      <c r="H138" s="5">
        <f t="shared" si="28"/>
        <v>1053444</v>
      </c>
    </row>
    <row r="139" spans="1:8" s="9" customFormat="1" x14ac:dyDescent="0.25">
      <c r="A139" s="6" t="s">
        <v>7</v>
      </c>
      <c r="B139" s="10" t="s">
        <v>77</v>
      </c>
      <c r="C139" s="28" t="s">
        <v>42</v>
      </c>
      <c r="D139" s="29"/>
      <c r="E139" s="8">
        <f>SUM(E134:E138)</f>
        <v>539000</v>
      </c>
      <c r="F139" s="8">
        <f t="shared" ref="F139:H139" si="29">SUM(F134:F138)</f>
        <v>3029000</v>
      </c>
      <c r="G139" s="8">
        <f t="shared" si="29"/>
        <v>2137287</v>
      </c>
      <c r="H139" s="8">
        <f t="shared" si="29"/>
        <v>5705287</v>
      </c>
    </row>
    <row r="140" spans="1:8" ht="15" customHeight="1" x14ac:dyDescent="0.25">
      <c r="A140" s="3" t="s">
        <v>78</v>
      </c>
      <c r="B140" s="4" t="s">
        <v>79</v>
      </c>
      <c r="C140" s="4" t="s">
        <v>80</v>
      </c>
      <c r="D140" s="5" t="s">
        <v>16</v>
      </c>
      <c r="E140" s="5">
        <v>73500</v>
      </c>
      <c r="F140" s="5">
        <f>150000+360000</f>
        <v>510000</v>
      </c>
      <c r="G140" s="5"/>
      <c r="H140" s="5">
        <f>SUM(E140:G140)</f>
        <v>583500</v>
      </c>
    </row>
    <row r="141" spans="1:8" s="9" customFormat="1" x14ac:dyDescent="0.25">
      <c r="A141" s="6" t="s">
        <v>7</v>
      </c>
      <c r="B141" s="10" t="s">
        <v>79</v>
      </c>
      <c r="C141" s="28" t="s">
        <v>80</v>
      </c>
      <c r="D141" s="29"/>
      <c r="E141" s="8">
        <f>SUM(E140)</f>
        <v>73500</v>
      </c>
      <c r="F141" s="8">
        <f t="shared" ref="F141:H141" si="30">SUM(F140)</f>
        <v>510000</v>
      </c>
      <c r="G141" s="8">
        <f t="shared" si="30"/>
        <v>0</v>
      </c>
      <c r="H141" s="8">
        <f t="shared" si="30"/>
        <v>583500</v>
      </c>
    </row>
    <row r="142" spans="1:8" ht="15" customHeight="1" x14ac:dyDescent="0.25">
      <c r="A142" s="3" t="s">
        <v>81</v>
      </c>
      <c r="B142" s="4" t="s">
        <v>82</v>
      </c>
      <c r="C142" s="4" t="s">
        <v>83</v>
      </c>
      <c r="D142" s="5" t="s">
        <v>13</v>
      </c>
      <c r="E142" s="5">
        <v>24500</v>
      </c>
      <c r="F142" s="5">
        <v>49000</v>
      </c>
      <c r="G142" s="5">
        <f>54488*2</f>
        <v>108976</v>
      </c>
      <c r="H142" s="5">
        <f t="shared" ref="H142:H164" si="31">SUM(E142:G142)</f>
        <v>182476</v>
      </c>
    </row>
    <row r="143" spans="1:8" ht="15" customHeight="1" x14ac:dyDescent="0.25">
      <c r="A143" s="3"/>
      <c r="B143" s="4"/>
      <c r="C143" s="4"/>
      <c r="D143" s="5" t="s">
        <v>27</v>
      </c>
      <c r="E143" s="5">
        <v>24500</v>
      </c>
      <c r="F143" s="5"/>
      <c r="G143" s="5">
        <f>35280*2</f>
        <v>70560</v>
      </c>
      <c r="H143" s="5">
        <f t="shared" si="31"/>
        <v>95060</v>
      </c>
    </row>
    <row r="144" spans="1:8" ht="15" customHeight="1" x14ac:dyDescent="0.25">
      <c r="A144" s="3"/>
      <c r="B144" s="4"/>
      <c r="C144" s="4"/>
      <c r="D144" s="5" t="s">
        <v>27</v>
      </c>
      <c r="E144" s="5">
        <v>24500</v>
      </c>
      <c r="F144" s="5">
        <v>90000</v>
      </c>
      <c r="G144" s="5">
        <f>103500+78000</f>
        <v>181500</v>
      </c>
      <c r="H144" s="5">
        <f t="shared" si="31"/>
        <v>296000</v>
      </c>
    </row>
    <row r="145" spans="1:8" ht="15" customHeight="1" x14ac:dyDescent="0.25">
      <c r="A145" s="3"/>
      <c r="B145" s="4"/>
      <c r="C145" s="4"/>
      <c r="D145" s="5" t="s">
        <v>13</v>
      </c>
      <c r="E145" s="5">
        <v>73500</v>
      </c>
      <c r="F145" s="5">
        <v>590000</v>
      </c>
      <c r="G145" s="5">
        <f>164390+192776</f>
        <v>357166</v>
      </c>
      <c r="H145" s="5">
        <f t="shared" si="31"/>
        <v>1020666</v>
      </c>
    </row>
    <row r="146" spans="1:8" s="9" customFormat="1" x14ac:dyDescent="0.25">
      <c r="A146" s="6" t="s">
        <v>7</v>
      </c>
      <c r="B146" s="10" t="s">
        <v>82</v>
      </c>
      <c r="C146" s="28" t="s">
        <v>83</v>
      </c>
      <c r="D146" s="29"/>
      <c r="E146" s="8">
        <f>SUM(E142:E145)</f>
        <v>147000</v>
      </c>
      <c r="F146" s="8">
        <f t="shared" ref="F146:H146" si="32">SUM(F142:F145)</f>
        <v>729000</v>
      </c>
      <c r="G146" s="8">
        <f t="shared" si="32"/>
        <v>718202</v>
      </c>
      <c r="H146" s="8">
        <f t="shared" si="32"/>
        <v>1594202</v>
      </c>
    </row>
    <row r="147" spans="1:8" ht="15" customHeight="1" x14ac:dyDescent="0.25">
      <c r="A147" s="3" t="s">
        <v>84</v>
      </c>
      <c r="B147" s="4" t="s">
        <v>85</v>
      </c>
      <c r="C147" s="4" t="s">
        <v>24</v>
      </c>
      <c r="D147" s="5" t="s">
        <v>15</v>
      </c>
      <c r="E147" s="5">
        <v>49000</v>
      </c>
      <c r="F147" s="5">
        <v>500000</v>
      </c>
      <c r="G147" s="5">
        <f>105730+57624</f>
        <v>163354</v>
      </c>
      <c r="H147" s="5">
        <f t="shared" si="31"/>
        <v>712354</v>
      </c>
    </row>
    <row r="148" spans="1:8" s="9" customFormat="1" x14ac:dyDescent="0.25">
      <c r="A148" s="6" t="s">
        <v>7</v>
      </c>
      <c r="B148" s="10" t="s">
        <v>85</v>
      </c>
      <c r="C148" s="28" t="s">
        <v>24</v>
      </c>
      <c r="D148" s="29"/>
      <c r="E148" s="8">
        <f>SUM(E147)</f>
        <v>49000</v>
      </c>
      <c r="F148" s="8">
        <f t="shared" ref="F148:H148" si="33">SUM(F147)</f>
        <v>500000</v>
      </c>
      <c r="G148" s="8">
        <f t="shared" si="33"/>
        <v>163354</v>
      </c>
      <c r="H148" s="8">
        <f t="shared" si="33"/>
        <v>712354</v>
      </c>
    </row>
    <row r="149" spans="1:8" ht="15" customHeight="1" x14ac:dyDescent="0.25">
      <c r="A149" s="3" t="s">
        <v>86</v>
      </c>
      <c r="B149" s="4" t="s">
        <v>87</v>
      </c>
      <c r="C149" s="4" t="s">
        <v>45</v>
      </c>
      <c r="D149" s="5" t="s">
        <v>11</v>
      </c>
      <c r="E149" s="5">
        <v>49000</v>
      </c>
      <c r="F149" s="5">
        <v>300000</v>
      </c>
      <c r="G149" s="5">
        <f>35280+84420+211826</f>
        <v>331526</v>
      </c>
      <c r="H149" s="5">
        <f t="shared" si="31"/>
        <v>680526</v>
      </c>
    </row>
    <row r="150" spans="1:8" ht="15" customHeight="1" x14ac:dyDescent="0.25">
      <c r="A150" s="3"/>
      <c r="B150" s="4"/>
      <c r="C150" s="4"/>
      <c r="D150" s="5" t="s">
        <v>15</v>
      </c>
      <c r="E150" s="5">
        <v>49000</v>
      </c>
      <c r="F150" s="5">
        <v>250000</v>
      </c>
      <c r="G150" s="5">
        <v>216000</v>
      </c>
      <c r="H150" s="5">
        <f t="shared" si="31"/>
        <v>515000</v>
      </c>
    </row>
    <row r="151" spans="1:8" ht="15" customHeight="1" x14ac:dyDescent="0.25">
      <c r="A151" s="3"/>
      <c r="B151" s="4"/>
      <c r="C151" s="4"/>
      <c r="D151" s="5" t="s">
        <v>21</v>
      </c>
      <c r="E151" s="5">
        <v>24500</v>
      </c>
      <c r="F151" s="5">
        <v>210000</v>
      </c>
      <c r="G151" s="5">
        <v>963704</v>
      </c>
      <c r="H151" s="5">
        <f>SUM(E151:G151)</f>
        <v>1198204</v>
      </c>
    </row>
    <row r="152" spans="1:8" ht="15" customHeight="1" x14ac:dyDescent="0.25">
      <c r="A152" s="3"/>
      <c r="B152" s="4"/>
      <c r="C152" s="4"/>
      <c r="D152" s="5" t="s">
        <v>27</v>
      </c>
      <c r="E152" s="5">
        <v>73500</v>
      </c>
      <c r="F152" s="5">
        <f>270000+230000</f>
        <v>500000</v>
      </c>
      <c r="G152" s="5">
        <f>251868+16072+11368+20384</f>
        <v>299692</v>
      </c>
      <c r="H152" s="5">
        <f>SUM(E152:G152)</f>
        <v>873192</v>
      </c>
    </row>
    <row r="153" spans="1:8" ht="15" customHeight="1" x14ac:dyDescent="0.25">
      <c r="A153" s="3"/>
      <c r="B153" s="4"/>
      <c r="C153" s="4"/>
      <c r="D153" s="5" t="s">
        <v>27</v>
      </c>
      <c r="E153" s="5">
        <v>24500</v>
      </c>
      <c r="F153" s="5">
        <v>0</v>
      </c>
      <c r="G153" s="5">
        <v>156000</v>
      </c>
      <c r="H153" s="5">
        <f t="shared" si="31"/>
        <v>180500</v>
      </c>
    </row>
    <row r="154" spans="1:8" ht="15" customHeight="1" x14ac:dyDescent="0.25">
      <c r="A154" s="3"/>
      <c r="B154" s="4"/>
      <c r="C154" s="15"/>
      <c r="D154" s="16" t="s">
        <v>21</v>
      </c>
      <c r="E154" s="5">
        <v>27000</v>
      </c>
      <c r="F154" s="5">
        <v>250000</v>
      </c>
      <c r="G154" s="5">
        <v>824844</v>
      </c>
      <c r="H154" s="5">
        <f t="shared" si="31"/>
        <v>1101844</v>
      </c>
    </row>
    <row r="155" spans="1:8" ht="15" customHeight="1" x14ac:dyDescent="0.25">
      <c r="A155" s="3"/>
      <c r="B155" s="4"/>
      <c r="C155" s="15"/>
      <c r="D155" s="16" t="s">
        <v>141</v>
      </c>
      <c r="E155" s="5">
        <v>54000</v>
      </c>
      <c r="F155" s="5">
        <f>141000+360000</f>
        <v>501000</v>
      </c>
      <c r="G155" s="5">
        <f>92016+214410</f>
        <v>306426</v>
      </c>
      <c r="H155" s="5">
        <f t="shared" si="31"/>
        <v>861426</v>
      </c>
    </row>
    <row r="156" spans="1:8" ht="15" customHeight="1" x14ac:dyDescent="0.25">
      <c r="A156" s="3"/>
      <c r="B156" s="4"/>
      <c r="C156" s="15"/>
      <c r="D156" s="16" t="s">
        <v>271</v>
      </c>
      <c r="E156" s="5">
        <v>24500</v>
      </c>
      <c r="F156" s="5">
        <v>220000</v>
      </c>
      <c r="G156" s="5">
        <f>16072+286034</f>
        <v>302106</v>
      </c>
      <c r="H156" s="5">
        <f t="shared" si="31"/>
        <v>546606</v>
      </c>
    </row>
    <row r="157" spans="1:8" ht="15" customHeight="1" x14ac:dyDescent="0.25">
      <c r="A157" s="3"/>
      <c r="B157" s="4"/>
      <c r="C157" s="15"/>
      <c r="D157" s="16" t="s">
        <v>11</v>
      </c>
      <c r="E157" s="5">
        <v>54000</v>
      </c>
      <c r="F157" s="5">
        <f>300000+250000</f>
        <v>550000</v>
      </c>
      <c r="G157" s="5">
        <f>162842+76600+142000</f>
        <v>381442</v>
      </c>
      <c r="H157" s="5">
        <f t="shared" si="31"/>
        <v>985442</v>
      </c>
    </row>
    <row r="158" spans="1:8" s="9" customFormat="1" x14ac:dyDescent="0.25">
      <c r="A158" s="6" t="s">
        <v>7</v>
      </c>
      <c r="B158" s="10" t="s">
        <v>87</v>
      </c>
      <c r="C158" s="28" t="s">
        <v>45</v>
      </c>
      <c r="D158" s="29"/>
      <c r="E158" s="8">
        <f>SUM(E149:E157)</f>
        <v>380000</v>
      </c>
      <c r="F158" s="8">
        <f t="shared" ref="F158:H158" si="34">SUM(F149:F157)</f>
        <v>2781000</v>
      </c>
      <c r="G158" s="8">
        <f t="shared" si="34"/>
        <v>3781740</v>
      </c>
      <c r="H158" s="8">
        <f t="shared" si="34"/>
        <v>6942740</v>
      </c>
    </row>
    <row r="159" spans="1:8" ht="15" customHeight="1" x14ac:dyDescent="0.25">
      <c r="A159" s="3" t="s">
        <v>88</v>
      </c>
      <c r="B159" s="4" t="s">
        <v>89</v>
      </c>
      <c r="C159" s="4" t="s">
        <v>90</v>
      </c>
      <c r="D159" s="5" t="s">
        <v>11</v>
      </c>
      <c r="E159" s="5">
        <v>66900</v>
      </c>
      <c r="F159" s="5">
        <v>600000</v>
      </c>
      <c r="G159" s="5">
        <f>173000+98477</f>
        <v>271477</v>
      </c>
      <c r="H159" s="5">
        <f t="shared" si="31"/>
        <v>938377</v>
      </c>
    </row>
    <row r="160" spans="1:8" ht="15" customHeight="1" x14ac:dyDescent="0.25">
      <c r="A160" s="3"/>
      <c r="B160" s="4"/>
      <c r="C160" s="4"/>
      <c r="D160" s="5" t="s">
        <v>13</v>
      </c>
      <c r="E160" s="5">
        <v>98000</v>
      </c>
      <c r="F160" s="5">
        <f>57232*2</f>
        <v>114464</v>
      </c>
      <c r="G160" s="5">
        <f>150000+570000</f>
        <v>720000</v>
      </c>
      <c r="H160" s="5">
        <f t="shared" si="31"/>
        <v>932464</v>
      </c>
    </row>
    <row r="161" spans="1:8" ht="15" customHeight="1" x14ac:dyDescent="0.25">
      <c r="A161" s="3"/>
      <c r="B161" s="4"/>
      <c r="C161" s="4"/>
      <c r="D161" s="5" t="s">
        <v>15</v>
      </c>
      <c r="E161" s="5"/>
      <c r="F161" s="5"/>
      <c r="G161" s="5">
        <v>200000</v>
      </c>
      <c r="H161" s="5">
        <f t="shared" si="31"/>
        <v>200000</v>
      </c>
    </row>
    <row r="162" spans="1:8" ht="15" customHeight="1" x14ac:dyDescent="0.25">
      <c r="A162" s="3"/>
      <c r="B162" s="4"/>
      <c r="C162" s="4"/>
      <c r="D162" s="5" t="s">
        <v>16</v>
      </c>
      <c r="E162" s="5">
        <v>73500</v>
      </c>
      <c r="F162" s="5">
        <v>660000</v>
      </c>
      <c r="G162" s="5">
        <v>142688</v>
      </c>
      <c r="H162" s="5">
        <f t="shared" si="31"/>
        <v>876188</v>
      </c>
    </row>
    <row r="163" spans="1:8" s="9" customFormat="1" x14ac:dyDescent="0.25">
      <c r="A163" s="6" t="s">
        <v>7</v>
      </c>
      <c r="B163" s="10" t="s">
        <v>89</v>
      </c>
      <c r="C163" s="28" t="s">
        <v>90</v>
      </c>
      <c r="D163" s="29"/>
      <c r="E163" s="8">
        <f>SUM(E159:E162)</f>
        <v>238400</v>
      </c>
      <c r="F163" s="8">
        <f t="shared" ref="F163:H163" si="35">SUM(F159:F162)</f>
        <v>1374464</v>
      </c>
      <c r="G163" s="8">
        <f t="shared" si="35"/>
        <v>1334165</v>
      </c>
      <c r="H163" s="8">
        <f t="shared" si="35"/>
        <v>2947029</v>
      </c>
    </row>
    <row r="164" spans="1:8" ht="15" customHeight="1" x14ac:dyDescent="0.25">
      <c r="A164" s="3" t="s">
        <v>91</v>
      </c>
      <c r="B164" s="4" t="s">
        <v>92</v>
      </c>
      <c r="C164" s="4" t="s">
        <v>93</v>
      </c>
      <c r="D164" s="5" t="s">
        <v>13</v>
      </c>
      <c r="E164" s="5">
        <v>73500</v>
      </c>
      <c r="F164" s="5">
        <v>230000</v>
      </c>
      <c r="G164" s="5">
        <v>380880</v>
      </c>
      <c r="H164" s="5">
        <f t="shared" si="31"/>
        <v>684380</v>
      </c>
    </row>
    <row r="165" spans="1:8" ht="15" customHeight="1" x14ac:dyDescent="0.25">
      <c r="A165" s="3"/>
      <c r="B165" s="4"/>
      <c r="C165" s="4"/>
      <c r="D165" s="5" t="s">
        <v>21</v>
      </c>
      <c r="E165" s="5">
        <v>49000</v>
      </c>
      <c r="F165" s="5">
        <v>500000</v>
      </c>
      <c r="G165" s="5">
        <v>924897</v>
      </c>
      <c r="H165" s="5">
        <f>SUM(E165:G165)</f>
        <v>1473897</v>
      </c>
    </row>
    <row r="166" spans="1:8" ht="15" customHeight="1" x14ac:dyDescent="0.25">
      <c r="A166" s="3"/>
      <c r="B166" s="4"/>
      <c r="C166" s="4"/>
      <c r="D166" s="5" t="s">
        <v>13</v>
      </c>
      <c r="E166" s="5">
        <v>49000</v>
      </c>
      <c r="F166" s="5">
        <v>185000</v>
      </c>
      <c r="G166" s="5">
        <v>113680</v>
      </c>
      <c r="H166" s="5">
        <f>SUM(E166:G166)</f>
        <v>347680</v>
      </c>
    </row>
    <row r="167" spans="1:8" s="9" customFormat="1" x14ac:dyDescent="0.25">
      <c r="A167" s="6" t="s">
        <v>7</v>
      </c>
      <c r="B167" s="10" t="s">
        <v>92</v>
      </c>
      <c r="C167" s="28" t="s">
        <v>93</v>
      </c>
      <c r="D167" s="29"/>
      <c r="E167" s="8">
        <f>SUM(E164:E166)</f>
        <v>171500</v>
      </c>
      <c r="F167" s="8">
        <f t="shared" ref="F167:H167" si="36">SUM(F164:F166)</f>
        <v>915000</v>
      </c>
      <c r="G167" s="8">
        <f t="shared" si="36"/>
        <v>1419457</v>
      </c>
      <c r="H167" s="8">
        <f t="shared" si="36"/>
        <v>2505957</v>
      </c>
    </row>
    <row r="168" spans="1:8" ht="15" customHeight="1" x14ac:dyDescent="0.25">
      <c r="A168" s="3" t="s">
        <v>94</v>
      </c>
      <c r="B168" s="4" t="s">
        <v>95</v>
      </c>
      <c r="C168" s="4" t="s">
        <v>96</v>
      </c>
      <c r="D168" s="5" t="s">
        <v>15</v>
      </c>
      <c r="E168" s="5">
        <v>73500</v>
      </c>
      <c r="F168" s="5">
        <v>400000</v>
      </c>
      <c r="G168" s="5">
        <v>200000</v>
      </c>
      <c r="H168" s="5">
        <f t="shared" ref="H168:H178" si="37">SUM(E168:G168)</f>
        <v>673500</v>
      </c>
    </row>
    <row r="169" spans="1:8" s="9" customFormat="1" x14ac:dyDescent="0.25">
      <c r="A169" s="6" t="s">
        <v>7</v>
      </c>
      <c r="B169" s="10" t="s">
        <v>95</v>
      </c>
      <c r="C169" s="28" t="s">
        <v>96</v>
      </c>
      <c r="D169" s="29"/>
      <c r="E169" s="8">
        <f>SUM(E168:E168)</f>
        <v>73500</v>
      </c>
      <c r="F169" s="8">
        <f t="shared" ref="F169:H169" si="38">SUM(F168:F168)</f>
        <v>400000</v>
      </c>
      <c r="G169" s="8">
        <f t="shared" si="38"/>
        <v>200000</v>
      </c>
      <c r="H169" s="8">
        <f t="shared" si="38"/>
        <v>673500</v>
      </c>
    </row>
    <row r="170" spans="1:8" ht="15" customHeight="1" x14ac:dyDescent="0.25">
      <c r="A170" s="3" t="s">
        <v>97</v>
      </c>
      <c r="B170" s="4" t="s">
        <v>98</v>
      </c>
      <c r="C170" s="4" t="s">
        <v>99</v>
      </c>
      <c r="D170" s="5" t="s">
        <v>27</v>
      </c>
      <c r="E170" s="5">
        <v>49000</v>
      </c>
      <c r="F170" s="5">
        <v>400000</v>
      </c>
      <c r="G170" s="5">
        <f>35280*2</f>
        <v>70560</v>
      </c>
      <c r="H170" s="5">
        <f t="shared" si="37"/>
        <v>519560</v>
      </c>
    </row>
    <row r="171" spans="1:8" ht="15" customHeight="1" x14ac:dyDescent="0.25">
      <c r="A171" s="3"/>
      <c r="B171" s="4"/>
      <c r="C171" s="4"/>
      <c r="D171" s="5" t="s">
        <v>13</v>
      </c>
      <c r="E171" s="5">
        <v>122500</v>
      </c>
      <c r="F171" s="5">
        <f>56840*2</f>
        <v>113680</v>
      </c>
      <c r="G171" s="5">
        <v>950000</v>
      </c>
      <c r="H171" s="5">
        <f t="shared" si="37"/>
        <v>1186180</v>
      </c>
    </row>
    <row r="172" spans="1:8" s="9" customFormat="1" x14ac:dyDescent="0.25">
      <c r="A172" s="6" t="s">
        <v>7</v>
      </c>
      <c r="B172" s="10" t="s">
        <v>98</v>
      </c>
      <c r="C172" s="28" t="s">
        <v>99</v>
      </c>
      <c r="D172" s="29"/>
      <c r="E172" s="8">
        <f>SUM(E170:E171)</f>
        <v>171500</v>
      </c>
      <c r="F172" s="8">
        <f t="shared" ref="F172:H172" si="39">SUM(F170:F171)</f>
        <v>513680</v>
      </c>
      <c r="G172" s="8">
        <f t="shared" si="39"/>
        <v>1020560</v>
      </c>
      <c r="H172" s="8">
        <f t="shared" si="39"/>
        <v>1705740</v>
      </c>
    </row>
    <row r="173" spans="1:8" ht="15" customHeight="1" x14ac:dyDescent="0.25">
      <c r="A173" s="3" t="s">
        <v>100</v>
      </c>
      <c r="B173" s="4" t="s">
        <v>101</v>
      </c>
      <c r="C173" s="4" t="s">
        <v>53</v>
      </c>
      <c r="D173" s="5" t="s">
        <v>54</v>
      </c>
      <c r="E173" s="5">
        <v>49000</v>
      </c>
      <c r="F173" s="5">
        <v>98000</v>
      </c>
      <c r="G173" s="5">
        <v>28616</v>
      </c>
      <c r="H173" s="5">
        <f t="shared" si="37"/>
        <v>175616</v>
      </c>
    </row>
    <row r="174" spans="1:8" s="9" customFormat="1" x14ac:dyDescent="0.25">
      <c r="A174" s="6" t="s">
        <v>7</v>
      </c>
      <c r="B174" s="10" t="s">
        <v>101</v>
      </c>
      <c r="C174" s="28" t="s">
        <v>53</v>
      </c>
      <c r="D174" s="29"/>
      <c r="E174" s="8">
        <f>SUM(E173:E173)</f>
        <v>49000</v>
      </c>
      <c r="F174" s="8">
        <f t="shared" ref="F174:H174" si="40">SUM(F173:F173)</f>
        <v>98000</v>
      </c>
      <c r="G174" s="8">
        <f t="shared" si="40"/>
        <v>28616</v>
      </c>
      <c r="H174" s="8">
        <f t="shared" si="40"/>
        <v>175616</v>
      </c>
    </row>
    <row r="175" spans="1:8" ht="15" customHeight="1" x14ac:dyDescent="0.25">
      <c r="A175" s="3" t="s">
        <v>102</v>
      </c>
      <c r="B175" s="4" t="s">
        <v>103</v>
      </c>
      <c r="C175" s="4" t="s">
        <v>24</v>
      </c>
      <c r="D175" s="5" t="s">
        <v>11</v>
      </c>
      <c r="E175" s="5">
        <v>117600</v>
      </c>
      <c r="F175" s="5">
        <v>294000</v>
      </c>
      <c r="G175" s="5">
        <f>10780*2</f>
        <v>21560</v>
      </c>
      <c r="H175" s="5">
        <f t="shared" si="37"/>
        <v>433160</v>
      </c>
    </row>
    <row r="176" spans="1:8" ht="15" customHeight="1" x14ac:dyDescent="0.25">
      <c r="A176" s="3"/>
      <c r="B176" s="4"/>
      <c r="C176" s="15"/>
      <c r="D176" s="16" t="s">
        <v>11</v>
      </c>
      <c r="E176" s="5">
        <v>548800</v>
      </c>
      <c r="F176" s="5">
        <v>1372000</v>
      </c>
      <c r="G176" s="5">
        <f>9212+9212</f>
        <v>18424</v>
      </c>
      <c r="H176" s="5">
        <f t="shared" si="37"/>
        <v>1939224</v>
      </c>
    </row>
    <row r="177" spans="1:8" ht="15" customHeight="1" x14ac:dyDescent="0.25">
      <c r="A177" s="3"/>
      <c r="B177" s="4"/>
      <c r="C177" s="15"/>
      <c r="D177" s="16" t="s">
        <v>11</v>
      </c>
      <c r="E177" s="5">
        <v>237600</v>
      </c>
      <c r="F177" s="5">
        <v>594000</v>
      </c>
      <c r="G177" s="5">
        <f>13392+13392</f>
        <v>26784</v>
      </c>
      <c r="H177" s="5">
        <f t="shared" si="37"/>
        <v>858384</v>
      </c>
    </row>
    <row r="178" spans="1:8" ht="15" customHeight="1" x14ac:dyDescent="0.25">
      <c r="A178" s="3"/>
      <c r="B178" s="4"/>
      <c r="C178" s="15"/>
      <c r="D178" s="16" t="s">
        <v>11</v>
      </c>
      <c r="E178" s="5">
        <v>216000</v>
      </c>
      <c r="F178" s="5">
        <v>486000</v>
      </c>
      <c r="G178" s="5">
        <f>10152+10152</f>
        <v>20304</v>
      </c>
      <c r="H178" s="5">
        <f t="shared" si="37"/>
        <v>722304</v>
      </c>
    </row>
    <row r="179" spans="1:8" s="9" customFormat="1" x14ac:dyDescent="0.25">
      <c r="A179" s="6" t="s">
        <v>7</v>
      </c>
      <c r="B179" s="10" t="s">
        <v>103</v>
      </c>
      <c r="C179" s="28" t="s">
        <v>24</v>
      </c>
      <c r="D179" s="29"/>
      <c r="E179" s="8">
        <f>SUM(E175:E178)</f>
        <v>1120000</v>
      </c>
      <c r="F179" s="8">
        <f t="shared" ref="F179:H179" si="41">SUM(F175:F178)</f>
        <v>2746000</v>
      </c>
      <c r="G179" s="8">
        <f t="shared" si="41"/>
        <v>87072</v>
      </c>
      <c r="H179" s="8">
        <f t="shared" si="41"/>
        <v>3953072</v>
      </c>
    </row>
    <row r="180" spans="1:8" ht="15" customHeight="1" x14ac:dyDescent="0.25">
      <c r="A180" s="3" t="s">
        <v>104</v>
      </c>
      <c r="B180" s="4" t="s">
        <v>105</v>
      </c>
      <c r="C180" s="4" t="s">
        <v>24</v>
      </c>
      <c r="D180" s="5" t="s">
        <v>20</v>
      </c>
      <c r="E180" s="5"/>
      <c r="F180" s="5"/>
      <c r="G180" s="5">
        <v>213600</v>
      </c>
      <c r="H180" s="5">
        <f>SUM(E180:G180)</f>
        <v>213600</v>
      </c>
    </row>
    <row r="181" spans="1:8" ht="15" customHeight="1" x14ac:dyDescent="0.25">
      <c r="A181" s="3"/>
      <c r="B181" s="4"/>
      <c r="C181" s="4"/>
      <c r="D181" s="5" t="s">
        <v>20</v>
      </c>
      <c r="E181" s="5"/>
      <c r="F181" s="5"/>
      <c r="G181" s="5">
        <v>160200</v>
      </c>
      <c r="H181" s="5">
        <f t="shared" ref="H181:H211" si="42">SUM(E181:G181)</f>
        <v>160200</v>
      </c>
    </row>
    <row r="182" spans="1:8" s="9" customFormat="1" x14ac:dyDescent="0.25">
      <c r="A182" s="6" t="s">
        <v>7</v>
      </c>
      <c r="B182" s="10" t="s">
        <v>105</v>
      </c>
      <c r="C182" s="28" t="s">
        <v>24</v>
      </c>
      <c r="D182" s="29"/>
      <c r="E182" s="8">
        <f>SUM(E180:E181)</f>
        <v>0</v>
      </c>
      <c r="F182" s="8">
        <f t="shared" ref="F182:H182" si="43">SUM(F180:F181)</f>
        <v>0</v>
      </c>
      <c r="G182" s="8">
        <f t="shared" si="43"/>
        <v>373800</v>
      </c>
      <c r="H182" s="8">
        <f t="shared" si="43"/>
        <v>373800</v>
      </c>
    </row>
    <row r="183" spans="1:8" ht="15" customHeight="1" x14ac:dyDescent="0.25">
      <c r="A183" s="3" t="s">
        <v>106</v>
      </c>
      <c r="B183" s="4" t="s">
        <v>107</v>
      </c>
      <c r="C183" s="4" t="s">
        <v>108</v>
      </c>
      <c r="D183" s="5" t="s">
        <v>15</v>
      </c>
      <c r="E183" s="5">
        <v>220500</v>
      </c>
      <c r="F183" s="5">
        <f>1470000+98000</f>
        <v>1568000</v>
      </c>
      <c r="G183" s="5">
        <f>57624*2</f>
        <v>115248</v>
      </c>
      <c r="H183" s="5">
        <f t="shared" si="42"/>
        <v>1903748</v>
      </c>
    </row>
    <row r="184" spans="1:8" ht="15" customHeight="1" x14ac:dyDescent="0.25">
      <c r="A184" s="3"/>
      <c r="B184" s="4"/>
      <c r="C184" s="4"/>
      <c r="D184" s="5" t="s">
        <v>16</v>
      </c>
      <c r="E184" s="5">
        <v>73500</v>
      </c>
      <c r="F184" s="5">
        <f>150000+360000</f>
        <v>510000</v>
      </c>
      <c r="G184" s="5"/>
      <c r="H184" s="5">
        <f t="shared" si="42"/>
        <v>583500</v>
      </c>
    </row>
    <row r="185" spans="1:8" ht="15" customHeight="1" x14ac:dyDescent="0.25">
      <c r="A185" s="3"/>
      <c r="B185" s="4"/>
      <c r="C185" s="15"/>
      <c r="D185" s="16" t="s">
        <v>21</v>
      </c>
      <c r="E185" s="5">
        <v>432000</v>
      </c>
      <c r="F185" s="5">
        <f>1440000+1200000</f>
        <v>2640000</v>
      </c>
      <c r="G185" s="5">
        <f>593307+412430</f>
        <v>1005737</v>
      </c>
      <c r="H185" s="5">
        <f t="shared" ref="H185" si="44">SUM(E185:G185)</f>
        <v>4077737</v>
      </c>
    </row>
    <row r="186" spans="1:8" s="9" customFormat="1" x14ac:dyDescent="0.25">
      <c r="A186" s="6" t="s">
        <v>7</v>
      </c>
      <c r="B186" s="10" t="s">
        <v>107</v>
      </c>
      <c r="C186" s="28" t="s">
        <v>108</v>
      </c>
      <c r="D186" s="29"/>
      <c r="E186" s="8">
        <f>SUM(E183:E185)</f>
        <v>726000</v>
      </c>
      <c r="F186" s="8">
        <f t="shared" ref="F186:H186" si="45">SUM(F183:F185)</f>
        <v>4718000</v>
      </c>
      <c r="G186" s="8">
        <f t="shared" si="45"/>
        <v>1120985</v>
      </c>
      <c r="H186" s="8">
        <f t="shared" si="45"/>
        <v>6564985</v>
      </c>
    </row>
    <row r="187" spans="1:8" ht="15" customHeight="1" x14ac:dyDescent="0.25">
      <c r="A187" s="3" t="s">
        <v>109</v>
      </c>
      <c r="B187" s="4" t="s">
        <v>110</v>
      </c>
      <c r="C187" s="4" t="s">
        <v>24</v>
      </c>
      <c r="D187" s="5" t="s">
        <v>27</v>
      </c>
      <c r="E187" s="5">
        <v>89200</v>
      </c>
      <c r="F187" s="5">
        <v>800000</v>
      </c>
      <c r="G187" s="5">
        <f>129620*2</f>
        <v>259240</v>
      </c>
      <c r="H187" s="5">
        <f t="shared" si="42"/>
        <v>1148440</v>
      </c>
    </row>
    <row r="188" spans="1:8" ht="15" customHeight="1" x14ac:dyDescent="0.25">
      <c r="A188" s="3"/>
      <c r="B188" s="4"/>
      <c r="C188" s="4"/>
      <c r="D188" s="5" t="s">
        <v>11</v>
      </c>
      <c r="E188" s="5">
        <v>137200</v>
      </c>
      <c r="F188" s="5">
        <v>343000</v>
      </c>
      <c r="G188" s="5">
        <f>12152*2</f>
        <v>24304</v>
      </c>
      <c r="H188" s="5">
        <f t="shared" si="42"/>
        <v>504504</v>
      </c>
    </row>
    <row r="189" spans="1:8" ht="15" customHeight="1" x14ac:dyDescent="0.25">
      <c r="A189" s="3"/>
      <c r="B189" s="4"/>
      <c r="C189" s="4"/>
      <c r="D189" s="5" t="s">
        <v>30</v>
      </c>
      <c r="E189" s="5">
        <v>215600</v>
      </c>
      <c r="F189" s="5">
        <f>147000+1000000+750000</f>
        <v>1897000</v>
      </c>
      <c r="G189" s="5">
        <f>51744*2</f>
        <v>103488</v>
      </c>
      <c r="H189" s="5">
        <f t="shared" si="42"/>
        <v>2216088</v>
      </c>
    </row>
    <row r="190" spans="1:8" ht="15" customHeight="1" x14ac:dyDescent="0.25">
      <c r="A190" s="3"/>
      <c r="B190" s="4"/>
      <c r="C190" s="4"/>
      <c r="D190" s="5" t="s">
        <v>21</v>
      </c>
      <c r="E190" s="5">
        <v>372400</v>
      </c>
      <c r="F190" s="5">
        <f>3750000+98000</f>
        <v>3848000</v>
      </c>
      <c r="G190" s="5">
        <f>86828*2</f>
        <v>173656</v>
      </c>
      <c r="H190" s="5">
        <f t="shared" si="42"/>
        <v>4394056</v>
      </c>
    </row>
    <row r="191" spans="1:8" ht="15" customHeight="1" x14ac:dyDescent="0.25">
      <c r="A191" s="3"/>
      <c r="B191" s="4"/>
      <c r="C191" s="4"/>
      <c r="D191" s="5" t="s">
        <v>11</v>
      </c>
      <c r="E191" s="5">
        <v>117600</v>
      </c>
      <c r="F191" s="5">
        <v>294000</v>
      </c>
      <c r="G191" s="5">
        <f>10780*2</f>
        <v>21560</v>
      </c>
      <c r="H191" s="5">
        <f t="shared" si="42"/>
        <v>433160</v>
      </c>
    </row>
    <row r="192" spans="1:8" ht="15" customHeight="1" x14ac:dyDescent="0.25">
      <c r="A192" s="3"/>
      <c r="B192" s="4"/>
      <c r="C192" s="15"/>
      <c r="D192" s="16" t="s">
        <v>11</v>
      </c>
      <c r="E192" s="5">
        <v>117600</v>
      </c>
      <c r="F192" s="5">
        <v>343000</v>
      </c>
      <c r="G192" s="5">
        <f>9212+9212</f>
        <v>18424</v>
      </c>
      <c r="H192" s="5">
        <f t="shared" si="42"/>
        <v>479024</v>
      </c>
    </row>
    <row r="193" spans="1:8" ht="15" customHeight="1" x14ac:dyDescent="0.25">
      <c r="A193" s="3"/>
      <c r="B193" s="4"/>
      <c r="C193" s="15"/>
      <c r="D193" s="16" t="s">
        <v>11</v>
      </c>
      <c r="E193" s="5">
        <v>548800</v>
      </c>
      <c r="F193" s="5">
        <v>1372000</v>
      </c>
      <c r="G193" s="5">
        <f>9212+9212</f>
        <v>18424</v>
      </c>
      <c r="H193" s="5">
        <f t="shared" si="42"/>
        <v>1939224</v>
      </c>
    </row>
    <row r="194" spans="1:8" ht="15" customHeight="1" x14ac:dyDescent="0.25">
      <c r="A194" s="3"/>
      <c r="B194" s="4"/>
      <c r="C194" s="15"/>
      <c r="D194" s="16" t="s">
        <v>11</v>
      </c>
      <c r="E194" s="5">
        <v>237600</v>
      </c>
      <c r="F194" s="5">
        <v>594000</v>
      </c>
      <c r="G194" s="5">
        <f>13392+13392</f>
        <v>26784</v>
      </c>
      <c r="H194" s="5">
        <f t="shared" si="42"/>
        <v>858384</v>
      </c>
    </row>
    <row r="195" spans="1:8" ht="15" customHeight="1" x14ac:dyDescent="0.25">
      <c r="A195" s="3"/>
      <c r="B195" s="4"/>
      <c r="C195" s="15"/>
      <c r="D195" s="16" t="s">
        <v>11</v>
      </c>
      <c r="E195" s="5">
        <v>216000</v>
      </c>
      <c r="F195" s="5">
        <v>486000</v>
      </c>
      <c r="G195" s="5">
        <f>10152+10152</f>
        <v>20304</v>
      </c>
      <c r="H195" s="5">
        <f t="shared" si="42"/>
        <v>722304</v>
      </c>
    </row>
    <row r="196" spans="1:8" s="9" customFormat="1" x14ac:dyDescent="0.25">
      <c r="A196" s="6" t="s">
        <v>7</v>
      </c>
      <c r="B196" s="10" t="s">
        <v>110</v>
      </c>
      <c r="C196" s="28" t="s">
        <v>24</v>
      </c>
      <c r="D196" s="29"/>
      <c r="E196" s="8">
        <f>SUM(E187:E195)</f>
        <v>2052000</v>
      </c>
      <c r="F196" s="8">
        <f t="shared" ref="F196:H196" si="46">SUM(F187:F195)</f>
        <v>9977000</v>
      </c>
      <c r="G196" s="8">
        <f t="shared" si="46"/>
        <v>666184</v>
      </c>
      <c r="H196" s="8">
        <f t="shared" si="46"/>
        <v>12695184</v>
      </c>
    </row>
    <row r="197" spans="1:8" ht="15" customHeight="1" x14ac:dyDescent="0.25">
      <c r="A197" s="3" t="s">
        <v>111</v>
      </c>
      <c r="B197" s="4" t="s">
        <v>112</v>
      </c>
      <c r="C197" s="4" t="s">
        <v>108</v>
      </c>
      <c r="D197" s="5" t="s">
        <v>16</v>
      </c>
      <c r="E197" s="5">
        <v>73500</v>
      </c>
      <c r="F197" s="5">
        <f>450000+180000</f>
        <v>630000</v>
      </c>
      <c r="G197" s="5"/>
      <c r="H197" s="5">
        <f t="shared" si="42"/>
        <v>703500</v>
      </c>
    </row>
    <row r="198" spans="1:8" s="9" customFormat="1" x14ac:dyDescent="0.25">
      <c r="A198" s="6" t="s">
        <v>7</v>
      </c>
      <c r="B198" s="10" t="s">
        <v>112</v>
      </c>
      <c r="C198" s="28" t="s">
        <v>108</v>
      </c>
      <c r="D198" s="29"/>
      <c r="E198" s="8">
        <f>SUM(E197:E197)</f>
        <v>73500</v>
      </c>
      <c r="F198" s="8">
        <f t="shared" ref="F198:H198" si="47">SUM(F197:F197)</f>
        <v>630000</v>
      </c>
      <c r="G198" s="8">
        <f t="shared" si="47"/>
        <v>0</v>
      </c>
      <c r="H198" s="8">
        <f t="shared" si="47"/>
        <v>703500</v>
      </c>
    </row>
    <row r="199" spans="1:8" ht="15" customHeight="1" x14ac:dyDescent="0.25">
      <c r="A199" s="3" t="s">
        <v>113</v>
      </c>
      <c r="B199" s="4" t="s">
        <v>114</v>
      </c>
      <c r="C199" s="4" t="s">
        <v>115</v>
      </c>
      <c r="D199" s="5" t="s">
        <v>39</v>
      </c>
      <c r="E199" s="5">
        <v>147000</v>
      </c>
      <c r="F199" s="5">
        <v>343000</v>
      </c>
      <c r="G199" s="5">
        <f>128380*2</f>
        <v>256760</v>
      </c>
      <c r="H199" s="5">
        <f t="shared" si="42"/>
        <v>746760</v>
      </c>
    </row>
    <row r="200" spans="1:8" ht="15" customHeight="1" x14ac:dyDescent="0.25">
      <c r="A200" s="3"/>
      <c r="B200" s="4"/>
      <c r="C200" s="4"/>
      <c r="D200" s="5" t="s">
        <v>27</v>
      </c>
      <c r="E200" s="5">
        <v>24500</v>
      </c>
      <c r="F200" s="5">
        <v>49000</v>
      </c>
      <c r="G200" s="5">
        <f>35280*2</f>
        <v>70560</v>
      </c>
      <c r="H200" s="5">
        <f t="shared" si="42"/>
        <v>144060</v>
      </c>
    </row>
    <row r="201" spans="1:8" ht="15" customHeight="1" x14ac:dyDescent="0.25">
      <c r="A201" s="3"/>
      <c r="B201" s="4"/>
      <c r="C201" s="4"/>
      <c r="D201" s="5" t="s">
        <v>15</v>
      </c>
      <c r="E201" s="5">
        <v>220500</v>
      </c>
      <c r="F201" s="5">
        <v>1970000</v>
      </c>
      <c r="G201" s="5">
        <f>57624*2</f>
        <v>115248</v>
      </c>
      <c r="H201" s="5">
        <f t="shared" si="42"/>
        <v>2305748</v>
      </c>
    </row>
    <row r="202" spans="1:8" ht="15" customHeight="1" x14ac:dyDescent="0.25">
      <c r="A202" s="3"/>
      <c r="B202" s="4"/>
      <c r="C202" s="4"/>
      <c r="D202" s="5" t="s">
        <v>16</v>
      </c>
      <c r="E202" s="5">
        <v>73500</v>
      </c>
      <c r="F202" s="5">
        <f>150000+180000+180000</f>
        <v>510000</v>
      </c>
      <c r="G202" s="5"/>
      <c r="H202" s="5">
        <f t="shared" si="42"/>
        <v>583500</v>
      </c>
    </row>
    <row r="203" spans="1:8" ht="15" customHeight="1" x14ac:dyDescent="0.25">
      <c r="A203" s="3"/>
      <c r="B203" s="4"/>
      <c r="C203" s="15"/>
      <c r="D203" s="16" t="s">
        <v>11</v>
      </c>
      <c r="E203" s="5">
        <v>98000</v>
      </c>
      <c r="F203" s="5">
        <f>460000+600000</f>
        <v>1060000</v>
      </c>
      <c r="G203" s="5">
        <f>108192+108192</f>
        <v>216384</v>
      </c>
      <c r="H203" s="5">
        <f t="shared" si="42"/>
        <v>1374384</v>
      </c>
    </row>
    <row r="204" spans="1:8" s="9" customFormat="1" x14ac:dyDescent="0.25">
      <c r="A204" s="6" t="s">
        <v>7</v>
      </c>
      <c r="B204" s="10" t="s">
        <v>114</v>
      </c>
      <c r="C204" s="28" t="s">
        <v>115</v>
      </c>
      <c r="D204" s="29"/>
      <c r="E204" s="8">
        <f>SUM(E199:E203)</f>
        <v>563500</v>
      </c>
      <c r="F204" s="8">
        <f t="shared" ref="F204:H204" si="48">SUM(F199:F203)</f>
        <v>3932000</v>
      </c>
      <c r="G204" s="8">
        <f t="shared" si="48"/>
        <v>658952</v>
      </c>
      <c r="H204" s="8">
        <f t="shared" si="48"/>
        <v>5154452</v>
      </c>
    </row>
    <row r="205" spans="1:8" ht="15" customHeight="1" x14ac:dyDescent="0.25">
      <c r="A205" s="3" t="s">
        <v>116</v>
      </c>
      <c r="B205" s="4" t="s">
        <v>117</v>
      </c>
      <c r="C205" s="4" t="s">
        <v>118</v>
      </c>
      <c r="D205" s="5" t="s">
        <v>27</v>
      </c>
      <c r="E205" s="5">
        <v>24500</v>
      </c>
      <c r="F205" s="5">
        <v>110000</v>
      </c>
      <c r="G205" s="5">
        <f>35280*2</f>
        <v>70560</v>
      </c>
      <c r="H205" s="5">
        <f t="shared" si="42"/>
        <v>205060</v>
      </c>
    </row>
    <row r="206" spans="1:8" ht="15" customHeight="1" x14ac:dyDescent="0.25">
      <c r="A206" s="3"/>
      <c r="B206" s="4"/>
      <c r="C206" s="4"/>
      <c r="D206" s="5" t="s">
        <v>12</v>
      </c>
      <c r="E206" s="5">
        <v>73500</v>
      </c>
      <c r="F206" s="5">
        <v>810000</v>
      </c>
      <c r="G206" s="5">
        <f>84420+60564</f>
        <v>144984</v>
      </c>
      <c r="H206" s="5">
        <f t="shared" si="42"/>
        <v>1028484</v>
      </c>
    </row>
    <row r="207" spans="1:8" ht="15" customHeight="1" x14ac:dyDescent="0.25">
      <c r="A207" s="3"/>
      <c r="B207" s="4"/>
      <c r="C207" s="4"/>
      <c r="D207" s="5" t="s">
        <v>34</v>
      </c>
      <c r="E207" s="5">
        <v>49000</v>
      </c>
      <c r="F207" s="5">
        <v>280000</v>
      </c>
      <c r="G207" s="5">
        <f>2*134848</f>
        <v>269696</v>
      </c>
      <c r="H207" s="5">
        <f>SUM(E207:G207)</f>
        <v>598696</v>
      </c>
    </row>
    <row r="208" spans="1:8" ht="15" customHeight="1" x14ac:dyDescent="0.25">
      <c r="A208" s="3"/>
      <c r="B208" s="4"/>
      <c r="C208" s="4"/>
      <c r="D208" s="5" t="s">
        <v>27</v>
      </c>
      <c r="E208" s="5">
        <v>73500</v>
      </c>
      <c r="F208" s="5">
        <v>510000</v>
      </c>
      <c r="G208" s="5">
        <f>95440+146800</f>
        <v>242240</v>
      </c>
      <c r="H208" s="5">
        <f>SUM(E208:G208)</f>
        <v>825740</v>
      </c>
    </row>
    <row r="209" spans="1:8" ht="15" customHeight="1" x14ac:dyDescent="0.25">
      <c r="A209" s="3"/>
      <c r="B209" s="4"/>
      <c r="C209" s="4"/>
      <c r="D209" s="5" t="s">
        <v>15</v>
      </c>
      <c r="E209" s="5">
        <v>73500</v>
      </c>
      <c r="F209" s="5">
        <v>750000</v>
      </c>
      <c r="G209" s="5">
        <f>52332+142000</f>
        <v>194332</v>
      </c>
      <c r="H209" s="5">
        <f t="shared" si="42"/>
        <v>1017832</v>
      </c>
    </row>
    <row r="210" spans="1:8" s="9" customFormat="1" x14ac:dyDescent="0.25">
      <c r="A210" s="6" t="s">
        <v>7</v>
      </c>
      <c r="B210" s="10" t="s">
        <v>117</v>
      </c>
      <c r="C210" s="28" t="s">
        <v>118</v>
      </c>
      <c r="D210" s="29"/>
      <c r="E210" s="8">
        <f>SUM(E205:E209)</f>
        <v>294000</v>
      </c>
      <c r="F210" s="8">
        <f t="shared" ref="F210:H210" si="49">SUM(F205:F209)</f>
        <v>2460000</v>
      </c>
      <c r="G210" s="8">
        <f t="shared" si="49"/>
        <v>921812</v>
      </c>
      <c r="H210" s="8">
        <f t="shared" si="49"/>
        <v>3675812</v>
      </c>
    </row>
    <row r="211" spans="1:8" s="9" customFormat="1" x14ac:dyDescent="0.25">
      <c r="A211" s="17"/>
      <c r="B211" s="18" t="s">
        <v>273</v>
      </c>
      <c r="C211" s="19" t="s">
        <v>274</v>
      </c>
      <c r="D211" s="20" t="s">
        <v>27</v>
      </c>
      <c r="E211" s="21">
        <v>108000</v>
      </c>
      <c r="F211" s="21">
        <v>720000</v>
      </c>
      <c r="G211" s="21">
        <f>73000+38880</f>
        <v>111880</v>
      </c>
      <c r="H211" s="5">
        <f t="shared" si="42"/>
        <v>939880</v>
      </c>
    </row>
    <row r="212" spans="1:8" s="9" customFormat="1" x14ac:dyDescent="0.25">
      <c r="A212" s="6" t="s">
        <v>7</v>
      </c>
      <c r="B212" s="10" t="s">
        <v>272</v>
      </c>
      <c r="C212" s="13"/>
      <c r="D212" s="14"/>
      <c r="E212" s="8">
        <f>SUM(E211)</f>
        <v>108000</v>
      </c>
      <c r="F212" s="8">
        <f t="shared" ref="F212:H212" si="50">SUM(F211)</f>
        <v>720000</v>
      </c>
      <c r="G212" s="8">
        <f t="shared" si="50"/>
        <v>111880</v>
      </c>
      <c r="H212" s="8">
        <f t="shared" si="50"/>
        <v>939880</v>
      </c>
    </row>
    <row r="213" spans="1:8" ht="15" customHeight="1" x14ac:dyDescent="0.25">
      <c r="A213" s="3" t="s">
        <v>119</v>
      </c>
      <c r="B213" s="4" t="s">
        <v>120</v>
      </c>
      <c r="C213" s="4" t="s">
        <v>42</v>
      </c>
      <c r="D213" s="5" t="s">
        <v>11</v>
      </c>
      <c r="E213" s="5">
        <v>89200</v>
      </c>
      <c r="F213" s="5">
        <v>600000</v>
      </c>
      <c r="G213" s="5">
        <f>238000+103370</f>
        <v>341370</v>
      </c>
      <c r="H213" s="5">
        <f>SUM(E213:G213)</f>
        <v>1030570</v>
      </c>
    </row>
    <row r="214" spans="1:8" ht="15" customHeight="1" x14ac:dyDescent="0.25">
      <c r="A214" s="3"/>
      <c r="B214" s="4"/>
      <c r="C214" s="4"/>
      <c r="D214" s="5" t="s">
        <v>39</v>
      </c>
      <c r="E214" s="5">
        <v>98000</v>
      </c>
      <c r="F214" s="5">
        <v>500000</v>
      </c>
      <c r="G214" s="5">
        <f>134848*2</f>
        <v>269696</v>
      </c>
      <c r="H214" s="5">
        <f t="shared" ref="H214:H215" si="51">SUM(E214:G214)</f>
        <v>867696</v>
      </c>
    </row>
    <row r="215" spans="1:8" ht="15" customHeight="1" x14ac:dyDescent="0.25">
      <c r="A215" s="3"/>
      <c r="B215" s="4"/>
      <c r="C215" s="15"/>
      <c r="D215" s="16" t="s">
        <v>12</v>
      </c>
      <c r="E215" s="5">
        <v>351000</v>
      </c>
      <c r="F215" s="5">
        <v>702000</v>
      </c>
      <c r="G215" s="5">
        <f>68040+68040</f>
        <v>136080</v>
      </c>
      <c r="H215" s="5">
        <f t="shared" si="51"/>
        <v>1189080</v>
      </c>
    </row>
    <row r="216" spans="1:8" s="9" customFormat="1" x14ac:dyDescent="0.25">
      <c r="A216" s="6" t="s">
        <v>7</v>
      </c>
      <c r="B216" s="10" t="s">
        <v>120</v>
      </c>
      <c r="C216" s="28" t="s">
        <v>42</v>
      </c>
      <c r="D216" s="29"/>
      <c r="E216" s="8">
        <f>SUM(E213:E215)</f>
        <v>538200</v>
      </c>
      <c r="F216" s="8">
        <f t="shared" ref="F216:H216" si="52">SUM(F213:F215)</f>
        <v>1802000</v>
      </c>
      <c r="G216" s="8">
        <f t="shared" si="52"/>
        <v>747146</v>
      </c>
      <c r="H216" s="8">
        <f t="shared" si="52"/>
        <v>3087346</v>
      </c>
    </row>
    <row r="217" spans="1:8" ht="15" customHeight="1" x14ac:dyDescent="0.25">
      <c r="A217" s="3" t="s">
        <v>121</v>
      </c>
      <c r="B217" s="4" t="s">
        <v>122</v>
      </c>
      <c r="C217" s="4" t="s">
        <v>90</v>
      </c>
      <c r="D217" s="5" t="s">
        <v>15</v>
      </c>
      <c r="E217" s="5">
        <v>98000</v>
      </c>
      <c r="F217" s="5">
        <v>1120000</v>
      </c>
      <c r="G217" s="5">
        <f>117750+142000</f>
        <v>259750</v>
      </c>
      <c r="H217" s="5">
        <f t="shared" ref="H217:H296" si="53">SUM(E217:G217)</f>
        <v>1477750</v>
      </c>
    </row>
    <row r="218" spans="1:8" s="9" customFormat="1" x14ac:dyDescent="0.25">
      <c r="A218" s="6" t="s">
        <v>7</v>
      </c>
      <c r="B218" s="10" t="s">
        <v>122</v>
      </c>
      <c r="C218" s="28" t="s">
        <v>90</v>
      </c>
      <c r="D218" s="29"/>
      <c r="E218" s="8">
        <f>SUM(E217:E217)</f>
        <v>98000</v>
      </c>
      <c r="F218" s="8">
        <f t="shared" ref="F218:H218" si="54">SUM(F217:F217)</f>
        <v>1120000</v>
      </c>
      <c r="G218" s="8">
        <f t="shared" si="54"/>
        <v>259750</v>
      </c>
      <c r="H218" s="8">
        <f t="shared" si="54"/>
        <v>1477750</v>
      </c>
    </row>
    <row r="219" spans="1:8" ht="15" customHeight="1" x14ac:dyDescent="0.25">
      <c r="A219" s="3" t="s">
        <v>123</v>
      </c>
      <c r="B219" s="4" t="s">
        <v>124</v>
      </c>
      <c r="C219" s="4" t="s">
        <v>125</v>
      </c>
      <c r="D219" s="5" t="s">
        <v>15</v>
      </c>
      <c r="E219" s="5">
        <v>22300</v>
      </c>
      <c r="F219" s="5">
        <f>105730+105730</f>
        <v>211460</v>
      </c>
      <c r="G219" s="5">
        <v>150000</v>
      </c>
      <c r="H219" s="5">
        <f t="shared" si="53"/>
        <v>383760</v>
      </c>
    </row>
    <row r="220" spans="1:8" ht="15" customHeight="1" x14ac:dyDescent="0.25">
      <c r="A220" s="3"/>
      <c r="B220" s="4"/>
      <c r="C220" s="4"/>
      <c r="D220" s="5" t="s">
        <v>27</v>
      </c>
      <c r="E220" s="5">
        <v>44600</v>
      </c>
      <c r="F220" s="5">
        <v>170000</v>
      </c>
      <c r="G220" s="5">
        <f>32112*2</f>
        <v>64224</v>
      </c>
      <c r="H220" s="5">
        <f t="shared" si="53"/>
        <v>278824</v>
      </c>
    </row>
    <row r="221" spans="1:8" ht="15" customHeight="1" x14ac:dyDescent="0.25">
      <c r="A221" s="3"/>
      <c r="B221" s="4"/>
      <c r="C221" s="4"/>
      <c r="D221" s="5" t="s">
        <v>34</v>
      </c>
      <c r="E221" s="5">
        <v>147000</v>
      </c>
      <c r="F221" s="5">
        <f>320000+330000+150000+181000</f>
        <v>981000</v>
      </c>
      <c r="G221" s="5">
        <f>195350+145650</f>
        <v>341000</v>
      </c>
      <c r="H221" s="5">
        <f t="shared" si="53"/>
        <v>1469000</v>
      </c>
    </row>
    <row r="222" spans="1:8" ht="15" customHeight="1" x14ac:dyDescent="0.25">
      <c r="A222" s="3"/>
      <c r="B222" s="4"/>
      <c r="C222" s="4"/>
      <c r="D222" s="5" t="s">
        <v>27</v>
      </c>
      <c r="E222" s="5">
        <v>24500</v>
      </c>
      <c r="F222" s="5">
        <v>49000</v>
      </c>
      <c r="G222" s="5">
        <f>35280*2</f>
        <v>70560</v>
      </c>
      <c r="H222" s="5">
        <f t="shared" si="53"/>
        <v>144060</v>
      </c>
    </row>
    <row r="223" spans="1:8" ht="15" customHeight="1" x14ac:dyDescent="0.25">
      <c r="A223" s="3"/>
      <c r="B223" s="4"/>
      <c r="C223" s="4"/>
      <c r="D223" s="5" t="s">
        <v>27</v>
      </c>
      <c r="E223" s="5">
        <v>24500</v>
      </c>
      <c r="F223" s="5">
        <v>49000</v>
      </c>
      <c r="G223" s="5">
        <f>35280*2</f>
        <v>70560</v>
      </c>
      <c r="H223" s="5">
        <f t="shared" si="53"/>
        <v>144060</v>
      </c>
    </row>
    <row r="224" spans="1:8" ht="15" customHeight="1" x14ac:dyDescent="0.25">
      <c r="A224" s="3"/>
      <c r="B224" s="4"/>
      <c r="C224" s="4"/>
      <c r="D224" s="5" t="s">
        <v>15</v>
      </c>
      <c r="E224" s="5">
        <v>73500</v>
      </c>
      <c r="F224" s="5">
        <v>600000</v>
      </c>
      <c r="G224" s="5">
        <f>105730*2</f>
        <v>211460</v>
      </c>
      <c r="H224" s="5">
        <f t="shared" si="53"/>
        <v>884960</v>
      </c>
    </row>
    <row r="225" spans="1:8" s="9" customFormat="1" x14ac:dyDescent="0.25">
      <c r="A225" s="6" t="s">
        <v>7</v>
      </c>
      <c r="B225" s="10" t="s">
        <v>124</v>
      </c>
      <c r="C225" s="28" t="s">
        <v>125</v>
      </c>
      <c r="D225" s="29"/>
      <c r="E225" s="8">
        <f>SUM(E219:E224)</f>
        <v>336400</v>
      </c>
      <c r="F225" s="8">
        <f t="shared" ref="F225:H225" si="55">SUM(F219:F224)</f>
        <v>2060460</v>
      </c>
      <c r="G225" s="8">
        <f t="shared" si="55"/>
        <v>907804</v>
      </c>
      <c r="H225" s="8">
        <f t="shared" si="55"/>
        <v>3304664</v>
      </c>
    </row>
    <row r="226" spans="1:8" s="9" customFormat="1" x14ac:dyDescent="0.25">
      <c r="A226" s="23"/>
      <c r="B226" s="24" t="s">
        <v>275</v>
      </c>
      <c r="C226" s="20" t="s">
        <v>276</v>
      </c>
      <c r="D226" s="20" t="s">
        <v>12</v>
      </c>
      <c r="E226" s="21">
        <v>122500</v>
      </c>
      <c r="F226" s="21">
        <f>350000+98000+600000+375000</f>
        <v>1423000</v>
      </c>
      <c r="G226" s="21">
        <f>60564+19208+67620</f>
        <v>147392</v>
      </c>
      <c r="H226" s="5">
        <f t="shared" si="53"/>
        <v>1692892</v>
      </c>
    </row>
    <row r="227" spans="1:8" s="9" customFormat="1" x14ac:dyDescent="0.25">
      <c r="A227" s="23"/>
      <c r="B227" s="24"/>
      <c r="C227" s="20"/>
      <c r="D227" s="20" t="s">
        <v>16</v>
      </c>
      <c r="E227" s="21">
        <v>405000</v>
      </c>
      <c r="F227" s="21">
        <v>5250000</v>
      </c>
      <c r="G227" s="21">
        <f>227224+75816</f>
        <v>303040</v>
      </c>
      <c r="H227" s="5">
        <f t="shared" si="53"/>
        <v>5958040</v>
      </c>
    </row>
    <row r="228" spans="1:8" s="9" customFormat="1" x14ac:dyDescent="0.25">
      <c r="A228" s="6" t="s">
        <v>7</v>
      </c>
      <c r="B228" s="10" t="s">
        <v>275</v>
      </c>
      <c r="C228" s="13"/>
      <c r="D228" s="14"/>
      <c r="E228" s="8">
        <f>SUM(E226:E227)</f>
        <v>527500</v>
      </c>
      <c r="F228" s="8">
        <f t="shared" ref="F228:H228" si="56">SUM(F226:F227)</f>
        <v>6673000</v>
      </c>
      <c r="G228" s="8">
        <f t="shared" si="56"/>
        <v>450432</v>
      </c>
      <c r="H228" s="8">
        <f t="shared" si="56"/>
        <v>7650932</v>
      </c>
    </row>
    <row r="229" spans="1:8" ht="15" customHeight="1" x14ac:dyDescent="0.25">
      <c r="A229" s="3" t="s">
        <v>126</v>
      </c>
      <c r="B229" s="4" t="s">
        <v>127</v>
      </c>
      <c r="C229" s="4" t="s">
        <v>128</v>
      </c>
      <c r="D229" s="5" t="s">
        <v>12</v>
      </c>
      <c r="E229" s="5"/>
      <c r="F229" s="5"/>
      <c r="G229" s="5">
        <f>52528*2</f>
        <v>105056</v>
      </c>
      <c r="H229" s="5">
        <f t="shared" si="53"/>
        <v>105056</v>
      </c>
    </row>
    <row r="230" spans="1:8" ht="15" customHeight="1" x14ac:dyDescent="0.25">
      <c r="A230" s="3"/>
      <c r="B230" s="4"/>
      <c r="C230" s="4"/>
      <c r="D230" s="5" t="s">
        <v>27</v>
      </c>
      <c r="E230" s="5">
        <v>24500</v>
      </c>
      <c r="F230" s="5">
        <v>49000</v>
      </c>
      <c r="G230" s="5">
        <f>35280*2</f>
        <v>70560</v>
      </c>
      <c r="H230" s="5">
        <f t="shared" si="53"/>
        <v>144060</v>
      </c>
    </row>
    <row r="231" spans="1:8" s="9" customFormat="1" x14ac:dyDescent="0.25">
      <c r="A231" s="6" t="s">
        <v>7</v>
      </c>
      <c r="B231" s="10" t="s">
        <v>127</v>
      </c>
      <c r="C231" s="28" t="s">
        <v>128</v>
      </c>
      <c r="D231" s="29"/>
      <c r="E231" s="8">
        <f>SUM(E229:E230)</f>
        <v>24500</v>
      </c>
      <c r="F231" s="8">
        <f t="shared" ref="F231:H231" si="57">SUM(F229:F230)</f>
        <v>49000</v>
      </c>
      <c r="G231" s="8">
        <f t="shared" si="57"/>
        <v>175616</v>
      </c>
      <c r="H231" s="8">
        <f t="shared" si="57"/>
        <v>249116</v>
      </c>
    </row>
    <row r="232" spans="1:8" ht="15" customHeight="1" x14ac:dyDescent="0.25">
      <c r="A232" s="3" t="s">
        <v>129</v>
      </c>
      <c r="B232" s="4" t="s">
        <v>130</v>
      </c>
      <c r="C232" s="4" t="s">
        <v>80</v>
      </c>
      <c r="D232" s="5" t="s">
        <v>12</v>
      </c>
      <c r="E232" s="5">
        <v>73590</v>
      </c>
      <c r="F232" s="5">
        <v>1050000</v>
      </c>
      <c r="G232" s="5"/>
      <c r="H232" s="5">
        <f t="shared" si="53"/>
        <v>1123590</v>
      </c>
    </row>
    <row r="233" spans="1:8" ht="15" customHeight="1" x14ac:dyDescent="0.25">
      <c r="A233" s="3"/>
      <c r="B233" s="4"/>
      <c r="C233" s="4"/>
      <c r="D233" s="5" t="s">
        <v>13</v>
      </c>
      <c r="E233" s="5">
        <v>147000</v>
      </c>
      <c r="F233" s="5">
        <v>1250000</v>
      </c>
      <c r="G233" s="5"/>
      <c r="H233" s="5">
        <f t="shared" si="53"/>
        <v>1397000</v>
      </c>
    </row>
    <row r="234" spans="1:8" ht="15" customHeight="1" x14ac:dyDescent="0.25">
      <c r="A234" s="3"/>
      <c r="B234" s="4"/>
      <c r="C234" s="4"/>
      <c r="D234" s="5" t="s">
        <v>15</v>
      </c>
      <c r="E234" s="5">
        <v>73500</v>
      </c>
      <c r="F234" s="5">
        <v>940000</v>
      </c>
      <c r="G234" s="5"/>
      <c r="H234" s="5">
        <f t="shared" si="53"/>
        <v>1013500</v>
      </c>
    </row>
    <row r="235" spans="1:8" ht="15" customHeight="1" x14ac:dyDescent="0.25">
      <c r="A235" s="3"/>
      <c r="B235" s="4"/>
      <c r="C235" s="4"/>
      <c r="D235" s="5" t="s">
        <v>16</v>
      </c>
      <c r="E235" s="5">
        <v>73500</v>
      </c>
      <c r="F235" s="5">
        <f>360000+180000</f>
        <v>540000</v>
      </c>
      <c r="G235" s="5"/>
      <c r="H235" s="5">
        <f t="shared" si="53"/>
        <v>613500</v>
      </c>
    </row>
    <row r="236" spans="1:8" ht="15" customHeight="1" x14ac:dyDescent="0.25">
      <c r="A236" s="3"/>
      <c r="B236" s="4"/>
      <c r="C236" s="15"/>
      <c r="D236" s="16" t="s">
        <v>12</v>
      </c>
      <c r="E236" s="5">
        <v>54000</v>
      </c>
      <c r="F236" s="5">
        <f>175000+350000</f>
        <v>525000</v>
      </c>
      <c r="G236" s="5"/>
      <c r="H236" s="5">
        <f t="shared" si="53"/>
        <v>579000</v>
      </c>
    </row>
    <row r="237" spans="1:8" s="9" customFormat="1" x14ac:dyDescent="0.25">
      <c r="A237" s="6" t="s">
        <v>7</v>
      </c>
      <c r="B237" s="10" t="s">
        <v>130</v>
      </c>
      <c r="C237" s="28" t="s">
        <v>80</v>
      </c>
      <c r="D237" s="29"/>
      <c r="E237" s="8">
        <f>SUM(E232:E236)</f>
        <v>421590</v>
      </c>
      <c r="F237" s="8">
        <f t="shared" ref="F237:H237" si="58">SUM(F232:F236)</f>
        <v>4305000</v>
      </c>
      <c r="G237" s="8">
        <f t="shared" si="58"/>
        <v>0</v>
      </c>
      <c r="H237" s="8">
        <f t="shared" si="58"/>
        <v>4726590</v>
      </c>
    </row>
    <row r="238" spans="1:8" ht="15" customHeight="1" x14ac:dyDescent="0.25">
      <c r="A238" s="3" t="s">
        <v>131</v>
      </c>
      <c r="B238" s="4" t="s">
        <v>132</v>
      </c>
      <c r="C238" s="4" t="s">
        <v>24</v>
      </c>
      <c r="D238" s="5" t="s">
        <v>14</v>
      </c>
      <c r="E238" s="5">
        <f>71360+142720</f>
        <v>214080</v>
      </c>
      <c r="F238" s="5">
        <f>356800+178400</f>
        <v>535200</v>
      </c>
      <c r="G238" s="5">
        <f>12131*2</f>
        <v>24262</v>
      </c>
      <c r="H238" s="5">
        <f t="shared" si="53"/>
        <v>773542</v>
      </c>
    </row>
    <row r="239" spans="1:8" ht="15" customHeight="1" x14ac:dyDescent="0.25">
      <c r="A239" s="3"/>
      <c r="B239" s="4"/>
      <c r="C239" s="4"/>
      <c r="D239" s="5" t="s">
        <v>14</v>
      </c>
      <c r="E239" s="5">
        <v>137200</v>
      </c>
      <c r="F239" s="5">
        <v>343000</v>
      </c>
      <c r="G239" s="5">
        <f>28812*2</f>
        <v>57624</v>
      </c>
      <c r="H239" s="5">
        <f t="shared" si="53"/>
        <v>537824</v>
      </c>
    </row>
    <row r="240" spans="1:8" ht="15" customHeight="1" x14ac:dyDescent="0.25">
      <c r="A240" s="3"/>
      <c r="B240" s="4"/>
      <c r="C240" s="4"/>
      <c r="D240" s="5" t="s">
        <v>14</v>
      </c>
      <c r="E240" s="5">
        <f>98000+374640</f>
        <v>472640</v>
      </c>
      <c r="F240" s="5">
        <f>936600+245000</f>
        <v>1181600</v>
      </c>
      <c r="G240" s="5">
        <f>11622+10579</f>
        <v>22201</v>
      </c>
      <c r="H240" s="5">
        <f t="shared" si="53"/>
        <v>1676441</v>
      </c>
    </row>
    <row r="241" spans="1:8" ht="15" customHeight="1" x14ac:dyDescent="0.25">
      <c r="A241" s="3"/>
      <c r="B241" s="4"/>
      <c r="C241" s="4"/>
      <c r="D241" s="5" t="s">
        <v>14</v>
      </c>
      <c r="E241" s="5">
        <v>607600</v>
      </c>
      <c r="F241" s="5">
        <v>1470000</v>
      </c>
      <c r="G241" s="5">
        <f>11622*2</f>
        <v>23244</v>
      </c>
      <c r="H241" s="5">
        <f t="shared" si="53"/>
        <v>2100844</v>
      </c>
    </row>
    <row r="242" spans="1:8" ht="15.75" customHeight="1" x14ac:dyDescent="0.25">
      <c r="A242" s="3"/>
      <c r="B242" s="4"/>
      <c r="C242" s="4"/>
      <c r="D242" s="5" t="s">
        <v>14</v>
      </c>
      <c r="E242" s="5">
        <v>196000</v>
      </c>
      <c r="F242" s="5">
        <v>441000</v>
      </c>
      <c r="G242" s="5">
        <f>28812*2</f>
        <v>57624</v>
      </c>
      <c r="H242" s="5">
        <f t="shared" si="53"/>
        <v>694624</v>
      </c>
    </row>
    <row r="243" spans="1:8" s="9" customFormat="1" x14ac:dyDescent="0.25">
      <c r="A243" s="6" t="s">
        <v>7</v>
      </c>
      <c r="B243" s="10" t="s">
        <v>132</v>
      </c>
      <c r="C243" s="28" t="s">
        <v>24</v>
      </c>
      <c r="D243" s="29"/>
      <c r="E243" s="8">
        <f>SUM(E238:E242)</f>
        <v>1627520</v>
      </c>
      <c r="F243" s="8">
        <f t="shared" ref="F243:H243" si="59">SUM(F238:F242)</f>
        <v>3970800</v>
      </c>
      <c r="G243" s="8">
        <f t="shared" si="59"/>
        <v>184955</v>
      </c>
      <c r="H243" s="8">
        <f t="shared" si="59"/>
        <v>5783275</v>
      </c>
    </row>
    <row r="244" spans="1:8" ht="15" customHeight="1" x14ac:dyDescent="0.25">
      <c r="A244" s="3" t="s">
        <v>133</v>
      </c>
      <c r="B244" s="4" t="s">
        <v>134</v>
      </c>
      <c r="C244" s="4" t="s">
        <v>24</v>
      </c>
      <c r="D244" s="5" t="s">
        <v>30</v>
      </c>
      <c r="E244" s="5">
        <v>176400</v>
      </c>
      <c r="F244" s="5">
        <v>441000</v>
      </c>
      <c r="G244" s="5">
        <f>20580*2</f>
        <v>41160</v>
      </c>
      <c r="H244" s="5">
        <f t="shared" si="53"/>
        <v>658560</v>
      </c>
    </row>
    <row r="245" spans="1:8" ht="15" customHeight="1" x14ac:dyDescent="0.25">
      <c r="A245" s="3"/>
      <c r="B245" s="4"/>
      <c r="C245" s="4"/>
      <c r="D245" s="5" t="s">
        <v>30</v>
      </c>
      <c r="E245" s="5">
        <v>156800</v>
      </c>
      <c r="F245" s="5">
        <f>49000+750000+250000+750000</f>
        <v>1799000</v>
      </c>
      <c r="G245" s="5">
        <f>16464*2</f>
        <v>32928</v>
      </c>
      <c r="H245" s="5">
        <f t="shared" si="53"/>
        <v>1988728</v>
      </c>
    </row>
    <row r="246" spans="1:8" ht="15" customHeight="1" x14ac:dyDescent="0.25">
      <c r="A246" s="3"/>
      <c r="B246" s="4"/>
      <c r="C246" s="4"/>
      <c r="D246" s="5" t="s">
        <v>30</v>
      </c>
      <c r="E246" s="5">
        <v>117600</v>
      </c>
      <c r="F246" s="5">
        <v>294000</v>
      </c>
      <c r="G246" s="5">
        <f>19992*2</f>
        <v>39984</v>
      </c>
      <c r="H246" s="5">
        <f t="shared" si="53"/>
        <v>451584</v>
      </c>
    </row>
    <row r="247" spans="1:8" ht="15" customHeight="1" x14ac:dyDescent="0.25">
      <c r="A247" s="3"/>
      <c r="B247" s="4"/>
      <c r="C247" s="4"/>
      <c r="D247" s="5" t="s">
        <v>34</v>
      </c>
      <c r="E247" s="5">
        <v>392000</v>
      </c>
      <c r="F247" s="5">
        <f>1750000+98000</f>
        <v>1848000</v>
      </c>
      <c r="G247" s="5">
        <f>54096*2</f>
        <v>108192</v>
      </c>
      <c r="H247" s="5">
        <f t="shared" si="53"/>
        <v>2348192</v>
      </c>
    </row>
    <row r="248" spans="1:8" ht="15" customHeight="1" x14ac:dyDescent="0.25">
      <c r="A248" s="3"/>
      <c r="B248" s="4"/>
      <c r="C248" s="4"/>
      <c r="D248" s="5" t="s">
        <v>39</v>
      </c>
      <c r="E248" s="5">
        <v>294000</v>
      </c>
      <c r="F248" s="5">
        <f>98000+1800000+60000</f>
        <v>1958000</v>
      </c>
      <c r="G248" s="5">
        <f>54096*2</f>
        <v>108192</v>
      </c>
      <c r="H248" s="5">
        <f>SUM(E248:G248)</f>
        <v>2360192</v>
      </c>
    </row>
    <row r="249" spans="1:8" ht="15" customHeight="1" x14ac:dyDescent="0.25">
      <c r="A249" s="3"/>
      <c r="B249" s="4"/>
      <c r="C249" s="4"/>
      <c r="D249" s="5" t="s">
        <v>30</v>
      </c>
      <c r="E249" s="5">
        <f>98000+78400+98000+78400</f>
        <v>352800</v>
      </c>
      <c r="F249" s="5">
        <f>245000+196000+245000+196000</f>
        <v>882000</v>
      </c>
      <c r="G249" s="5">
        <f>41160+45472+41160+34888</f>
        <v>162680</v>
      </c>
      <c r="H249" s="5">
        <f t="shared" si="53"/>
        <v>1397480</v>
      </c>
    </row>
    <row r="250" spans="1:8" ht="15" customHeight="1" x14ac:dyDescent="0.25">
      <c r="A250" s="3"/>
      <c r="B250" s="4"/>
      <c r="C250" s="15"/>
      <c r="D250" s="5" t="s">
        <v>30</v>
      </c>
      <c r="E250" s="5">
        <f>21600*5</f>
        <v>108000</v>
      </c>
      <c r="F250" s="5">
        <f>800000+54000</f>
        <v>854000</v>
      </c>
      <c r="G250" s="5">
        <f>36288+19224+22680</f>
        <v>78192</v>
      </c>
      <c r="H250" s="5">
        <f t="shared" ref="H250" si="60">SUM(E250:G250)</f>
        <v>1040192</v>
      </c>
    </row>
    <row r="251" spans="1:8" s="9" customFormat="1" x14ac:dyDescent="0.25">
      <c r="A251" s="6" t="s">
        <v>7</v>
      </c>
      <c r="B251" s="10" t="s">
        <v>134</v>
      </c>
      <c r="C251" s="28" t="s">
        <v>24</v>
      </c>
      <c r="D251" s="29"/>
      <c r="E251" s="8">
        <f>SUM(E244:E250)</f>
        <v>1597600</v>
      </c>
      <c r="F251" s="8">
        <f t="shared" ref="F251:H251" si="61">SUM(F244:F250)</f>
        <v>8076000</v>
      </c>
      <c r="G251" s="8">
        <f t="shared" si="61"/>
        <v>571328</v>
      </c>
      <c r="H251" s="8">
        <f t="shared" si="61"/>
        <v>10244928</v>
      </c>
    </row>
    <row r="252" spans="1:8" ht="15" customHeight="1" x14ac:dyDescent="0.25">
      <c r="A252" s="3" t="s">
        <v>135</v>
      </c>
      <c r="B252" s="4" t="s">
        <v>136</v>
      </c>
      <c r="C252" s="4" t="s">
        <v>45</v>
      </c>
      <c r="D252" s="5" t="s">
        <v>15</v>
      </c>
      <c r="E252" s="5">
        <v>0</v>
      </c>
      <c r="F252" s="5">
        <v>0</v>
      </c>
      <c r="G252" s="5">
        <v>309000</v>
      </c>
      <c r="H252" s="5">
        <f t="shared" si="53"/>
        <v>309000</v>
      </c>
    </row>
    <row r="253" spans="1:8" ht="15" customHeight="1" x14ac:dyDescent="0.25">
      <c r="A253" s="3"/>
      <c r="B253" s="4"/>
      <c r="C253" s="4"/>
      <c r="D253" s="5" t="s">
        <v>15</v>
      </c>
      <c r="E253" s="5">
        <v>0</v>
      </c>
      <c r="F253" s="5">
        <v>0</v>
      </c>
      <c r="G253" s="5">
        <f>215730+140440</f>
        <v>356170</v>
      </c>
      <c r="H253" s="5">
        <f t="shared" si="53"/>
        <v>356170</v>
      </c>
    </row>
    <row r="254" spans="1:8" ht="15" customHeight="1" x14ac:dyDescent="0.25">
      <c r="A254" s="3"/>
      <c r="B254" s="4"/>
      <c r="C254" s="4"/>
      <c r="D254" s="5" t="s">
        <v>14</v>
      </c>
      <c r="E254" s="5">
        <v>44600</v>
      </c>
      <c r="F254" s="5">
        <v>340000</v>
      </c>
      <c r="G254" s="5">
        <v>1510217</v>
      </c>
      <c r="H254" s="5">
        <f t="shared" si="53"/>
        <v>1894817</v>
      </c>
    </row>
    <row r="255" spans="1:8" ht="15" customHeight="1" x14ac:dyDescent="0.25">
      <c r="A255" s="3"/>
      <c r="B255" s="4"/>
      <c r="C255" s="4"/>
      <c r="D255" s="5" t="s">
        <v>11</v>
      </c>
      <c r="E255" s="5">
        <v>0</v>
      </c>
      <c r="F255" s="5">
        <v>0</v>
      </c>
      <c r="G255" s="5">
        <v>330320</v>
      </c>
      <c r="H255" s="5">
        <f t="shared" si="53"/>
        <v>330320</v>
      </c>
    </row>
    <row r="256" spans="1:8" ht="15" customHeight="1" x14ac:dyDescent="0.25">
      <c r="A256" s="3"/>
      <c r="B256" s="4"/>
      <c r="C256" s="4"/>
      <c r="D256" s="5" t="s">
        <v>16</v>
      </c>
      <c r="E256" s="5">
        <v>73500</v>
      </c>
      <c r="F256" s="5">
        <f>250000+410000+360000</f>
        <v>1020000</v>
      </c>
      <c r="G256" s="5">
        <f>118150+57610+89180</f>
        <v>264940</v>
      </c>
      <c r="H256" s="5">
        <f t="shared" si="53"/>
        <v>1358440</v>
      </c>
    </row>
    <row r="257" spans="1:8" ht="15" customHeight="1" x14ac:dyDescent="0.25">
      <c r="A257" s="3"/>
      <c r="B257" s="4"/>
      <c r="C257" s="4"/>
      <c r="D257" s="5" t="s">
        <v>21</v>
      </c>
      <c r="E257" s="5">
        <v>24500</v>
      </c>
      <c r="F257" s="5">
        <v>220000</v>
      </c>
      <c r="G257" s="5">
        <v>1269530</v>
      </c>
      <c r="H257" s="5">
        <f t="shared" si="53"/>
        <v>1514030</v>
      </c>
    </row>
    <row r="258" spans="1:8" ht="15" customHeight="1" x14ac:dyDescent="0.25">
      <c r="A258" s="3"/>
      <c r="B258" s="4"/>
      <c r="C258" s="4"/>
      <c r="D258" s="5" t="s">
        <v>13</v>
      </c>
      <c r="E258" s="5">
        <v>49000</v>
      </c>
      <c r="F258" s="5">
        <v>465000</v>
      </c>
      <c r="G258" s="5">
        <v>70220</v>
      </c>
      <c r="H258" s="5">
        <f t="shared" si="53"/>
        <v>584220</v>
      </c>
    </row>
    <row r="259" spans="1:8" ht="15" customHeight="1" x14ac:dyDescent="0.25">
      <c r="A259" s="3"/>
      <c r="B259" s="4"/>
      <c r="C259" s="4"/>
      <c r="D259" s="5" t="s">
        <v>13</v>
      </c>
      <c r="E259" s="5">
        <v>73500</v>
      </c>
      <c r="F259" s="5">
        <v>400000</v>
      </c>
      <c r="G259" s="5">
        <f>95440+122947</f>
        <v>218387</v>
      </c>
      <c r="H259" s="5">
        <f t="shared" si="53"/>
        <v>691887</v>
      </c>
    </row>
    <row r="260" spans="1:8" ht="15" customHeight="1" x14ac:dyDescent="0.25">
      <c r="A260" s="3"/>
      <c r="B260" s="4"/>
      <c r="C260" s="4"/>
      <c r="D260" s="5" t="s">
        <v>11</v>
      </c>
      <c r="E260" s="5">
        <v>49000</v>
      </c>
      <c r="F260" s="5">
        <f>170000+180000</f>
        <v>350000</v>
      </c>
      <c r="G260" s="5">
        <f>35280+84420+211826</f>
        <v>331526</v>
      </c>
      <c r="H260" s="5">
        <f t="shared" si="53"/>
        <v>730526</v>
      </c>
    </row>
    <row r="261" spans="1:8" ht="15" customHeight="1" x14ac:dyDescent="0.25">
      <c r="A261" s="3"/>
      <c r="B261" s="4"/>
      <c r="C261" s="4"/>
      <c r="D261" s="5" t="s">
        <v>15</v>
      </c>
      <c r="E261" s="5">
        <v>49000</v>
      </c>
      <c r="F261" s="5">
        <v>250000</v>
      </c>
      <c r="G261" s="5">
        <v>216000</v>
      </c>
      <c r="H261" s="5">
        <f t="shared" si="53"/>
        <v>515000</v>
      </c>
    </row>
    <row r="262" spans="1:8" ht="15" customHeight="1" x14ac:dyDescent="0.25">
      <c r="A262" s="3"/>
      <c r="B262" s="4"/>
      <c r="C262" s="4"/>
      <c r="D262" s="5" t="s">
        <v>21</v>
      </c>
      <c r="E262" s="5">
        <v>24500</v>
      </c>
      <c r="F262" s="5">
        <v>250000</v>
      </c>
      <c r="G262" s="5">
        <v>963704</v>
      </c>
      <c r="H262" s="5">
        <f>SUM(E262:G262)</f>
        <v>1238204</v>
      </c>
    </row>
    <row r="263" spans="1:8" ht="15" customHeight="1" x14ac:dyDescent="0.25">
      <c r="A263" s="3"/>
      <c r="B263" s="4"/>
      <c r="C263" s="4"/>
      <c r="D263" s="5" t="s">
        <v>13</v>
      </c>
      <c r="E263" s="5">
        <v>24500</v>
      </c>
      <c r="F263" s="5">
        <v>0</v>
      </c>
      <c r="G263" s="5">
        <v>156000</v>
      </c>
      <c r="H263" s="5">
        <f>SUM(E263:G263)</f>
        <v>180500</v>
      </c>
    </row>
    <row r="264" spans="1:8" ht="15" customHeight="1" x14ac:dyDescent="0.25">
      <c r="A264" s="3"/>
      <c r="B264" s="4"/>
      <c r="C264" s="4"/>
      <c r="D264" s="5" t="s">
        <v>27</v>
      </c>
      <c r="E264" s="5">
        <v>73500</v>
      </c>
      <c r="F264" s="5">
        <f>230000+270000</f>
        <v>500000</v>
      </c>
      <c r="G264" s="5">
        <f>251868+16072+11368+20384</f>
        <v>299692</v>
      </c>
      <c r="H264" s="5">
        <f t="shared" si="53"/>
        <v>873192</v>
      </c>
    </row>
    <row r="265" spans="1:8" ht="15" customHeight="1" x14ac:dyDescent="0.25">
      <c r="A265" s="3"/>
      <c r="B265" s="4"/>
      <c r="C265" s="15"/>
      <c r="D265" s="5" t="s">
        <v>141</v>
      </c>
      <c r="E265" s="5">
        <v>54000</v>
      </c>
      <c r="F265" s="5">
        <v>360000</v>
      </c>
      <c r="G265" s="5">
        <f>214410+141000+92016</f>
        <v>447426</v>
      </c>
      <c r="H265" s="5">
        <f t="shared" si="53"/>
        <v>861426</v>
      </c>
    </row>
    <row r="266" spans="1:8" ht="15" customHeight="1" x14ac:dyDescent="0.25">
      <c r="A266" s="3"/>
      <c r="B266" s="4"/>
      <c r="C266" s="15"/>
      <c r="D266" s="5" t="s">
        <v>21</v>
      </c>
      <c r="E266" s="5">
        <v>27000</v>
      </c>
      <c r="F266" s="5">
        <v>250000</v>
      </c>
      <c r="G266" s="5">
        <v>824844</v>
      </c>
      <c r="H266" s="5">
        <f t="shared" si="53"/>
        <v>1101844</v>
      </c>
    </row>
    <row r="267" spans="1:8" ht="15" customHeight="1" x14ac:dyDescent="0.25">
      <c r="A267" s="3"/>
      <c r="B267" s="4"/>
      <c r="C267" s="15"/>
      <c r="D267" s="5" t="s">
        <v>12</v>
      </c>
      <c r="E267" s="5">
        <v>24500</v>
      </c>
      <c r="F267" s="5">
        <v>220000</v>
      </c>
      <c r="G267" s="5">
        <f>286034+16072</f>
        <v>302106</v>
      </c>
      <c r="H267" s="5">
        <f t="shared" si="53"/>
        <v>546606</v>
      </c>
    </row>
    <row r="268" spans="1:8" ht="15" customHeight="1" x14ac:dyDescent="0.25">
      <c r="A268" s="3"/>
      <c r="B268" s="4"/>
      <c r="C268" s="15"/>
      <c r="D268" s="5" t="s">
        <v>11</v>
      </c>
      <c r="E268" s="5">
        <v>54000</v>
      </c>
      <c r="F268" s="5">
        <f>250000+300000</f>
        <v>550000</v>
      </c>
      <c r="G268" s="5">
        <f>142000+76600+162842</f>
        <v>381442</v>
      </c>
      <c r="H268" s="5">
        <f t="shared" si="53"/>
        <v>985442</v>
      </c>
    </row>
    <row r="269" spans="1:8" s="9" customFormat="1" x14ac:dyDescent="0.25">
      <c r="A269" s="6" t="s">
        <v>7</v>
      </c>
      <c r="B269" s="10" t="s">
        <v>136</v>
      </c>
      <c r="C269" s="28" t="s">
        <v>45</v>
      </c>
      <c r="D269" s="29"/>
      <c r="E269" s="8">
        <f>SUM(E252:E268)</f>
        <v>645100</v>
      </c>
      <c r="F269" s="8">
        <f t="shared" ref="F269:H269" si="62">SUM(F252:F268)</f>
        <v>5175000</v>
      </c>
      <c r="G269" s="8">
        <f t="shared" si="62"/>
        <v>8251524</v>
      </c>
      <c r="H269" s="11">
        <f>SUM(H252:H268)-1203629</f>
        <v>12867995</v>
      </c>
    </row>
    <row r="270" spans="1:8" ht="15" customHeight="1" x14ac:dyDescent="0.25">
      <c r="A270" s="3" t="s">
        <v>137</v>
      </c>
      <c r="B270" s="4" t="s">
        <v>138</v>
      </c>
      <c r="C270" s="4" t="s">
        <v>83</v>
      </c>
      <c r="D270" s="5" t="s">
        <v>27</v>
      </c>
      <c r="E270" s="5">
        <v>24500</v>
      </c>
      <c r="F270" s="5">
        <v>90000</v>
      </c>
      <c r="G270" s="5">
        <f>103500+78000</f>
        <v>181500</v>
      </c>
      <c r="H270" s="5">
        <f t="shared" si="53"/>
        <v>296000</v>
      </c>
    </row>
    <row r="271" spans="1:8" s="9" customFormat="1" x14ac:dyDescent="0.25">
      <c r="A271" s="6" t="s">
        <v>7</v>
      </c>
      <c r="B271" s="10" t="s">
        <v>138</v>
      </c>
      <c r="C271" s="28" t="s">
        <v>83</v>
      </c>
      <c r="D271" s="29"/>
      <c r="E271" s="8">
        <f>SUM(E270)</f>
        <v>24500</v>
      </c>
      <c r="F271" s="8">
        <f t="shared" ref="F271:H271" si="63">SUM(F270)</f>
        <v>90000</v>
      </c>
      <c r="G271" s="8">
        <f t="shared" si="63"/>
        <v>181500</v>
      </c>
      <c r="H271" s="8">
        <f t="shared" si="63"/>
        <v>296000</v>
      </c>
    </row>
    <row r="272" spans="1:8" ht="15" customHeight="1" x14ac:dyDescent="0.25">
      <c r="A272" s="3" t="s">
        <v>139</v>
      </c>
      <c r="B272" s="4" t="s">
        <v>140</v>
      </c>
      <c r="C272" s="4" t="s">
        <v>71</v>
      </c>
      <c r="D272" s="5" t="s">
        <v>11</v>
      </c>
      <c r="E272" s="5">
        <v>22300</v>
      </c>
      <c r="F272" s="5">
        <v>650000</v>
      </c>
      <c r="G272" s="5">
        <f>328000+173000</f>
        <v>501000</v>
      </c>
      <c r="H272" s="5">
        <f t="shared" si="53"/>
        <v>1173300</v>
      </c>
    </row>
    <row r="273" spans="1:8" ht="15" customHeight="1" x14ac:dyDescent="0.25">
      <c r="A273" s="3"/>
      <c r="B273" s="4"/>
      <c r="C273" s="4"/>
      <c r="D273" s="5" t="s">
        <v>11</v>
      </c>
      <c r="E273" s="5">
        <v>89200</v>
      </c>
      <c r="F273" s="5">
        <f>1350000+250000</f>
        <v>1600000</v>
      </c>
      <c r="G273" s="5"/>
      <c r="H273" s="5">
        <f t="shared" si="53"/>
        <v>1689200</v>
      </c>
    </row>
    <row r="274" spans="1:8" ht="15" customHeight="1" x14ac:dyDescent="0.25">
      <c r="A274" s="3"/>
      <c r="B274" s="4"/>
      <c r="C274" s="4"/>
      <c r="D274" s="5" t="s">
        <v>34</v>
      </c>
      <c r="E274" s="5">
        <v>98000</v>
      </c>
      <c r="F274" s="5">
        <v>875000</v>
      </c>
      <c r="G274" s="5">
        <f>349960+195350</f>
        <v>545310</v>
      </c>
      <c r="H274" s="5">
        <f t="shared" si="53"/>
        <v>1518310</v>
      </c>
    </row>
    <row r="275" spans="1:8" ht="15" customHeight="1" x14ac:dyDescent="0.25">
      <c r="A275" s="3"/>
      <c r="B275" s="4"/>
      <c r="C275" s="4"/>
      <c r="D275" s="5" t="s">
        <v>12</v>
      </c>
      <c r="E275" s="5">
        <v>73590</v>
      </c>
      <c r="F275" s="5">
        <v>660000</v>
      </c>
      <c r="G275" s="5"/>
      <c r="H275" s="5">
        <f t="shared" si="53"/>
        <v>733590</v>
      </c>
    </row>
    <row r="276" spans="1:8" ht="15" customHeight="1" x14ac:dyDescent="0.25">
      <c r="A276" s="3"/>
      <c r="B276" s="4"/>
      <c r="C276" s="4"/>
      <c r="D276" s="5" t="s">
        <v>34</v>
      </c>
      <c r="E276" s="5">
        <v>73500</v>
      </c>
      <c r="F276" s="5">
        <v>475000</v>
      </c>
      <c r="G276" s="5">
        <f>817506+349960</f>
        <v>1167466</v>
      </c>
      <c r="H276" s="5">
        <f t="shared" si="53"/>
        <v>1715966</v>
      </c>
    </row>
    <row r="277" spans="1:8" ht="15" customHeight="1" x14ac:dyDescent="0.25">
      <c r="A277" s="3"/>
      <c r="B277" s="4"/>
      <c r="C277" s="4"/>
      <c r="D277" s="5" t="s">
        <v>30</v>
      </c>
      <c r="E277" s="5">
        <v>220500</v>
      </c>
      <c r="F277" s="5">
        <f>1500000+190000+570000</f>
        <v>2260000</v>
      </c>
      <c r="G277" s="5">
        <v>734331</v>
      </c>
      <c r="H277" s="5">
        <f t="shared" si="53"/>
        <v>3214831</v>
      </c>
    </row>
    <row r="278" spans="1:8" ht="15" customHeight="1" x14ac:dyDescent="0.25">
      <c r="A278" s="3"/>
      <c r="B278" s="4"/>
      <c r="C278" s="4"/>
      <c r="D278" s="5" t="s">
        <v>54</v>
      </c>
      <c r="E278" s="5">
        <v>73500</v>
      </c>
      <c r="F278" s="5">
        <v>400000</v>
      </c>
      <c r="G278" s="5"/>
      <c r="H278" s="5">
        <f>SUM(E278:G278)</f>
        <v>473500</v>
      </c>
    </row>
    <row r="279" spans="1:8" ht="15" customHeight="1" x14ac:dyDescent="0.25">
      <c r="A279" s="3"/>
      <c r="B279" s="4"/>
      <c r="C279" s="4"/>
      <c r="D279" s="5" t="s">
        <v>21</v>
      </c>
      <c r="E279" s="5">
        <v>49000</v>
      </c>
      <c r="F279" s="5">
        <v>900000</v>
      </c>
      <c r="G279" s="5">
        <f>906256+544844</f>
        <v>1451100</v>
      </c>
      <c r="H279" s="5">
        <f>SUM(E279:G279)</f>
        <v>2400100</v>
      </c>
    </row>
    <row r="280" spans="1:8" ht="15" customHeight="1" x14ac:dyDescent="0.25">
      <c r="A280" s="3"/>
      <c r="B280" s="4"/>
      <c r="C280" s="4"/>
      <c r="D280" s="5" t="s">
        <v>34</v>
      </c>
      <c r="E280" s="5">
        <v>49000</v>
      </c>
      <c r="F280" s="5">
        <v>700000</v>
      </c>
      <c r="G280" s="5">
        <f>468783+380597</f>
        <v>849380</v>
      </c>
      <c r="H280" s="5">
        <f t="shared" si="53"/>
        <v>1598380</v>
      </c>
    </row>
    <row r="281" spans="1:8" ht="15" customHeight="1" x14ac:dyDescent="0.25">
      <c r="A281" s="3"/>
      <c r="B281" s="4"/>
      <c r="C281" s="4"/>
      <c r="D281" s="5" t="s">
        <v>30</v>
      </c>
      <c r="E281" s="5">
        <v>73500</v>
      </c>
      <c r="F281" s="5">
        <v>147000</v>
      </c>
      <c r="G281" s="5">
        <v>200000</v>
      </c>
      <c r="H281" s="5">
        <f t="shared" si="53"/>
        <v>420500</v>
      </c>
    </row>
    <row r="282" spans="1:8" ht="15" customHeight="1" x14ac:dyDescent="0.25">
      <c r="A282" s="3"/>
      <c r="B282" s="4"/>
      <c r="C282" s="4"/>
      <c r="D282" s="5" t="s">
        <v>34</v>
      </c>
      <c r="E282" s="5">
        <v>147000</v>
      </c>
      <c r="F282" s="5">
        <v>1200000</v>
      </c>
      <c r="G282" s="5">
        <f>387535+645613</f>
        <v>1033148</v>
      </c>
      <c r="H282" s="5">
        <f t="shared" si="53"/>
        <v>2380148</v>
      </c>
    </row>
    <row r="283" spans="1:8" ht="15" customHeight="1" x14ac:dyDescent="0.25">
      <c r="A283" s="3"/>
      <c r="B283" s="4"/>
      <c r="C283" s="4"/>
      <c r="D283" s="5" t="s">
        <v>14</v>
      </c>
      <c r="E283" s="5">
        <v>98000</v>
      </c>
      <c r="F283" s="5">
        <v>1000000</v>
      </c>
      <c r="G283" s="5">
        <f>424030+489729</f>
        <v>913759</v>
      </c>
      <c r="H283" s="5">
        <f t="shared" si="53"/>
        <v>2011759</v>
      </c>
    </row>
    <row r="284" spans="1:8" ht="15" customHeight="1" x14ac:dyDescent="0.25">
      <c r="A284" s="3"/>
      <c r="B284" s="4"/>
      <c r="C284" s="4"/>
      <c r="D284" s="5" t="s">
        <v>16</v>
      </c>
      <c r="E284" s="5">
        <v>122500</v>
      </c>
      <c r="F284" s="5">
        <v>1700000</v>
      </c>
      <c r="G284" s="5"/>
      <c r="H284" s="5">
        <f>SUM(E284:G284)</f>
        <v>1822500</v>
      </c>
    </row>
    <row r="285" spans="1:8" ht="15" customHeight="1" x14ac:dyDescent="0.25">
      <c r="A285" s="3"/>
      <c r="B285" s="4"/>
      <c r="C285" s="4"/>
      <c r="D285" s="5" t="s">
        <v>141</v>
      </c>
      <c r="E285" s="5">
        <v>49000</v>
      </c>
      <c r="F285" s="5">
        <v>300000</v>
      </c>
      <c r="G285" s="5">
        <v>400000</v>
      </c>
      <c r="H285" s="5">
        <f>SUM(E285:G285)</f>
        <v>749000</v>
      </c>
    </row>
    <row r="286" spans="1:8" ht="15" customHeight="1" x14ac:dyDescent="0.25">
      <c r="A286" s="3"/>
      <c r="B286" s="4"/>
      <c r="C286" s="4"/>
      <c r="D286" s="5" t="s">
        <v>11</v>
      </c>
      <c r="E286" s="5">
        <v>24500</v>
      </c>
      <c r="F286" s="5">
        <v>450000</v>
      </c>
      <c r="G286" s="5">
        <f>173000+314897</f>
        <v>487897</v>
      </c>
      <c r="H286" s="5">
        <f t="shared" si="53"/>
        <v>962397</v>
      </c>
    </row>
    <row r="287" spans="1:8" s="9" customFormat="1" x14ac:dyDescent="0.25">
      <c r="A287" s="6" t="s">
        <v>7</v>
      </c>
      <c r="B287" s="10" t="s">
        <v>140</v>
      </c>
      <c r="C287" s="28" t="s">
        <v>71</v>
      </c>
      <c r="D287" s="29"/>
      <c r="E287" s="8">
        <f>SUM(E272:E286)</f>
        <v>1263090</v>
      </c>
      <c r="F287" s="8">
        <f t="shared" ref="F287:H287" si="64">SUM(F272:F286)</f>
        <v>13317000</v>
      </c>
      <c r="G287" s="8">
        <f t="shared" si="64"/>
        <v>8283391</v>
      </c>
      <c r="H287" s="8">
        <f t="shared" si="64"/>
        <v>22863481</v>
      </c>
    </row>
    <row r="288" spans="1:8" s="9" customFormat="1" x14ac:dyDescent="0.25">
      <c r="A288" s="17"/>
      <c r="B288" s="24" t="s">
        <v>277</v>
      </c>
      <c r="C288" s="20" t="s">
        <v>278</v>
      </c>
      <c r="D288" s="20" t="s">
        <v>141</v>
      </c>
      <c r="E288" s="21">
        <v>189000</v>
      </c>
      <c r="F288" s="21">
        <v>1260000</v>
      </c>
      <c r="G288" s="21">
        <f>131520+97200</f>
        <v>228720</v>
      </c>
      <c r="H288" s="5">
        <f t="shared" si="53"/>
        <v>1677720</v>
      </c>
    </row>
    <row r="289" spans="1:8" s="9" customFormat="1" x14ac:dyDescent="0.25">
      <c r="A289" s="6" t="s">
        <v>7</v>
      </c>
      <c r="B289" s="10" t="s">
        <v>277</v>
      </c>
      <c r="C289" s="13"/>
      <c r="D289" s="25"/>
      <c r="E289" s="8">
        <f>SUM(E288)</f>
        <v>189000</v>
      </c>
      <c r="F289" s="8">
        <f t="shared" ref="F289:H289" si="65">SUM(F288)</f>
        <v>1260000</v>
      </c>
      <c r="G289" s="8">
        <f t="shared" si="65"/>
        <v>228720</v>
      </c>
      <c r="H289" s="8">
        <f t="shared" si="65"/>
        <v>1677720</v>
      </c>
    </row>
    <row r="290" spans="1:8" ht="14.25" customHeight="1" x14ac:dyDescent="0.25">
      <c r="A290" s="3" t="s">
        <v>142</v>
      </c>
      <c r="B290" s="4" t="s">
        <v>143</v>
      </c>
      <c r="C290" s="4" t="s">
        <v>80</v>
      </c>
      <c r="D290" s="5" t="s">
        <v>11</v>
      </c>
      <c r="E290" s="5">
        <v>89200</v>
      </c>
      <c r="F290" s="5">
        <v>800000</v>
      </c>
      <c r="G290" s="5">
        <v>0</v>
      </c>
      <c r="H290" s="5">
        <f t="shared" si="53"/>
        <v>889200</v>
      </c>
    </row>
    <row r="291" spans="1:8" ht="15" customHeight="1" x14ac:dyDescent="0.25">
      <c r="A291" s="3"/>
      <c r="B291" s="4"/>
      <c r="C291" s="4"/>
      <c r="D291" s="5" t="s">
        <v>13</v>
      </c>
      <c r="E291" s="5">
        <v>49060</v>
      </c>
      <c r="F291" s="5">
        <v>200000</v>
      </c>
      <c r="G291" s="5"/>
      <c r="H291" s="5">
        <f t="shared" si="53"/>
        <v>249060</v>
      </c>
    </row>
    <row r="292" spans="1:8" ht="15" customHeight="1" x14ac:dyDescent="0.25">
      <c r="A292" s="3"/>
      <c r="B292" s="4"/>
      <c r="C292" s="4"/>
      <c r="D292" s="5" t="s">
        <v>12</v>
      </c>
      <c r="E292" s="5">
        <v>73590</v>
      </c>
      <c r="F292" s="5">
        <v>1050000</v>
      </c>
      <c r="G292" s="5"/>
      <c r="H292" s="5">
        <f t="shared" si="53"/>
        <v>1123590</v>
      </c>
    </row>
    <row r="293" spans="1:8" ht="15" customHeight="1" x14ac:dyDescent="0.25">
      <c r="A293" s="3"/>
      <c r="B293" s="4"/>
      <c r="C293" s="4"/>
      <c r="D293" s="5" t="s">
        <v>13</v>
      </c>
      <c r="E293" s="5">
        <v>122500</v>
      </c>
      <c r="F293" s="5">
        <v>1200000</v>
      </c>
      <c r="G293" s="5"/>
      <c r="H293" s="5">
        <f t="shared" si="53"/>
        <v>1322500</v>
      </c>
    </row>
    <row r="294" spans="1:8" ht="15" customHeight="1" x14ac:dyDescent="0.25">
      <c r="A294" s="3"/>
      <c r="B294" s="4"/>
      <c r="C294" s="4"/>
      <c r="D294" s="5" t="s">
        <v>15</v>
      </c>
      <c r="E294" s="5">
        <v>98000</v>
      </c>
      <c r="F294" s="5">
        <v>1000000</v>
      </c>
      <c r="G294" s="5"/>
      <c r="H294" s="5">
        <f t="shared" si="53"/>
        <v>1098000</v>
      </c>
    </row>
    <row r="295" spans="1:8" ht="15" customHeight="1" x14ac:dyDescent="0.25">
      <c r="A295" s="3"/>
      <c r="B295" s="4"/>
      <c r="C295" s="4"/>
      <c r="D295" s="5" t="s">
        <v>16</v>
      </c>
      <c r="E295" s="5">
        <v>73500</v>
      </c>
      <c r="F295" s="5">
        <f>360000+49000</f>
        <v>409000</v>
      </c>
      <c r="G295" s="5"/>
      <c r="H295" s="5">
        <f t="shared" si="53"/>
        <v>482500</v>
      </c>
    </row>
    <row r="296" spans="1:8" ht="15" customHeight="1" x14ac:dyDescent="0.25">
      <c r="A296" s="3"/>
      <c r="B296" s="4"/>
      <c r="C296" s="15"/>
      <c r="D296" s="16" t="s">
        <v>12</v>
      </c>
      <c r="E296" s="5">
        <v>54000</v>
      </c>
      <c r="F296" s="5">
        <v>1000000</v>
      </c>
      <c r="G296" s="5"/>
      <c r="H296" s="5">
        <f t="shared" si="53"/>
        <v>1054000</v>
      </c>
    </row>
    <row r="297" spans="1:8" s="9" customFormat="1" x14ac:dyDescent="0.25">
      <c r="A297" s="6" t="s">
        <v>7</v>
      </c>
      <c r="B297" s="10" t="s">
        <v>143</v>
      </c>
      <c r="C297" s="28" t="s">
        <v>80</v>
      </c>
      <c r="D297" s="29"/>
      <c r="E297" s="8">
        <f>SUM(E290:E296)</f>
        <v>559850</v>
      </c>
      <c r="F297" s="8">
        <f t="shared" ref="F297:H297" si="66">SUM(F290:F296)</f>
        <v>5659000</v>
      </c>
      <c r="G297" s="8">
        <f t="shared" si="66"/>
        <v>0</v>
      </c>
      <c r="H297" s="8">
        <f t="shared" si="66"/>
        <v>6218850</v>
      </c>
    </row>
    <row r="298" spans="1:8" ht="15" customHeight="1" x14ac:dyDescent="0.25">
      <c r="A298" s="3" t="s">
        <v>144</v>
      </c>
      <c r="B298" s="4" t="s">
        <v>145</v>
      </c>
      <c r="C298" s="4" t="s">
        <v>42</v>
      </c>
      <c r="D298" s="5" t="s">
        <v>20</v>
      </c>
      <c r="E298" s="5">
        <v>24500</v>
      </c>
      <c r="F298" s="5">
        <v>49000</v>
      </c>
      <c r="G298" s="5">
        <f>28812*2</f>
        <v>57624</v>
      </c>
      <c r="H298" s="5">
        <f t="shared" ref="H298:H358" si="67">SUM(E298:G298)</f>
        <v>131124</v>
      </c>
    </row>
    <row r="299" spans="1:8" ht="15" customHeight="1" x14ac:dyDescent="0.25">
      <c r="A299" s="3"/>
      <c r="B299" s="4"/>
      <c r="C299" s="4"/>
      <c r="D299" s="5" t="s">
        <v>13</v>
      </c>
      <c r="E299" s="5">
        <v>49000</v>
      </c>
      <c r="F299" s="5">
        <v>460000</v>
      </c>
      <c r="G299" s="5">
        <f>56840*2</f>
        <v>113680</v>
      </c>
      <c r="H299" s="5">
        <f t="shared" si="67"/>
        <v>622680</v>
      </c>
    </row>
    <row r="300" spans="1:8" ht="15" customHeight="1" x14ac:dyDescent="0.25">
      <c r="A300" s="3"/>
      <c r="B300" s="4"/>
      <c r="C300" s="4"/>
      <c r="D300" s="5" t="s">
        <v>146</v>
      </c>
      <c r="E300" s="5">
        <v>294000</v>
      </c>
      <c r="F300" s="5">
        <f>98000+1500000+98000+1200000</f>
        <v>2896000</v>
      </c>
      <c r="G300" s="5">
        <f>955960+31164+189336</f>
        <v>1176460</v>
      </c>
      <c r="H300" s="5">
        <f t="shared" si="67"/>
        <v>4366460</v>
      </c>
    </row>
    <row r="301" spans="1:8" ht="15" customHeight="1" x14ac:dyDescent="0.25">
      <c r="A301" s="3"/>
      <c r="B301" s="4"/>
      <c r="C301" s="4"/>
      <c r="D301" s="5" t="s">
        <v>30</v>
      </c>
      <c r="E301" s="5">
        <v>220500</v>
      </c>
      <c r="F301" s="5">
        <f>1500000+190000+570000</f>
        <v>2260000</v>
      </c>
      <c r="G301" s="5">
        <f>534331+200000</f>
        <v>734331</v>
      </c>
      <c r="H301" s="5">
        <f t="shared" si="67"/>
        <v>3214831</v>
      </c>
    </row>
    <row r="302" spans="1:8" ht="15" customHeight="1" x14ac:dyDescent="0.25">
      <c r="A302" s="3"/>
      <c r="B302" s="4"/>
      <c r="C302" s="4"/>
      <c r="D302" s="5" t="s">
        <v>11</v>
      </c>
      <c r="E302" s="5">
        <v>73500</v>
      </c>
      <c r="F302" s="5">
        <v>600000</v>
      </c>
      <c r="G302" s="5">
        <f>267301+214296</f>
        <v>481597</v>
      </c>
      <c r="H302" s="5">
        <f t="shared" si="67"/>
        <v>1155097</v>
      </c>
    </row>
    <row r="303" spans="1:8" ht="15" customHeight="1" x14ac:dyDescent="0.25">
      <c r="A303" s="3"/>
      <c r="B303" s="4"/>
      <c r="C303" s="4"/>
      <c r="D303" s="5" t="s">
        <v>16</v>
      </c>
      <c r="E303" s="5">
        <v>196000</v>
      </c>
      <c r="F303" s="5">
        <f>2380000+330000</f>
        <v>2710000</v>
      </c>
      <c r="G303" s="5">
        <v>218230</v>
      </c>
      <c r="H303" s="5">
        <f t="shared" si="67"/>
        <v>3124230</v>
      </c>
    </row>
    <row r="304" spans="1:8" ht="15" customHeight="1" x14ac:dyDescent="0.25">
      <c r="A304" s="3"/>
      <c r="B304" s="4"/>
      <c r="C304" s="15"/>
      <c r="D304" s="16" t="s">
        <v>11</v>
      </c>
      <c r="E304" s="5">
        <v>324000</v>
      </c>
      <c r="F304" s="5">
        <f>54000+200000+54000+300000+2100000</f>
        <v>2708000</v>
      </c>
      <c r="G304" s="5">
        <f>136520+25920+125280</f>
        <v>287720</v>
      </c>
      <c r="H304" s="5">
        <f t="shared" si="67"/>
        <v>3319720</v>
      </c>
    </row>
    <row r="305" spans="1:8" s="9" customFormat="1" x14ac:dyDescent="0.25">
      <c r="A305" s="6" t="s">
        <v>7</v>
      </c>
      <c r="B305" s="10" t="s">
        <v>145</v>
      </c>
      <c r="C305" s="28" t="s">
        <v>42</v>
      </c>
      <c r="D305" s="29"/>
      <c r="E305" s="8">
        <f>SUM(E298:E304)</f>
        <v>1181500</v>
      </c>
      <c r="F305" s="8">
        <f t="shared" ref="F305:H305" si="68">SUM(F298:F304)</f>
        <v>11683000</v>
      </c>
      <c r="G305" s="8">
        <f t="shared" si="68"/>
        <v>3069642</v>
      </c>
      <c r="H305" s="8">
        <f t="shared" si="68"/>
        <v>15934142</v>
      </c>
    </row>
    <row r="306" spans="1:8" ht="15" customHeight="1" x14ac:dyDescent="0.25">
      <c r="A306" s="3" t="s">
        <v>147</v>
      </c>
      <c r="B306" s="4" t="s">
        <v>148</v>
      </c>
      <c r="C306" s="4" t="s">
        <v>125</v>
      </c>
      <c r="D306" s="5" t="s">
        <v>20</v>
      </c>
      <c r="E306" s="5">
        <v>24500</v>
      </c>
      <c r="F306" s="5">
        <v>250000</v>
      </c>
      <c r="G306" s="5">
        <f>22344*2</f>
        <v>44688</v>
      </c>
      <c r="H306" s="5">
        <f t="shared" si="67"/>
        <v>319188</v>
      </c>
    </row>
    <row r="307" spans="1:8" ht="15" customHeight="1" x14ac:dyDescent="0.25">
      <c r="A307" s="3"/>
      <c r="B307" s="4"/>
      <c r="C307" s="4"/>
      <c r="D307" s="5" t="s">
        <v>15</v>
      </c>
      <c r="E307" s="5">
        <v>73500</v>
      </c>
      <c r="F307" s="5">
        <v>400000</v>
      </c>
      <c r="G307" s="5">
        <v>200000</v>
      </c>
      <c r="H307" s="5">
        <f t="shared" si="67"/>
        <v>673500</v>
      </c>
    </row>
    <row r="308" spans="1:8" ht="15" customHeight="1" x14ac:dyDescent="0.25">
      <c r="A308" s="3"/>
      <c r="B308" s="4"/>
      <c r="C308" s="4"/>
      <c r="D308" s="5" t="s">
        <v>13</v>
      </c>
      <c r="E308" s="5">
        <v>49000</v>
      </c>
      <c r="F308" s="5">
        <v>200000</v>
      </c>
      <c r="G308" s="5">
        <v>258280</v>
      </c>
      <c r="H308" s="5">
        <f t="shared" si="67"/>
        <v>507280</v>
      </c>
    </row>
    <row r="309" spans="1:8" ht="15" customHeight="1" x14ac:dyDescent="0.25">
      <c r="A309" s="3"/>
      <c r="B309" s="4"/>
      <c r="C309" s="4"/>
      <c r="D309" s="5" t="s">
        <v>141</v>
      </c>
      <c r="E309" s="5">
        <v>98000</v>
      </c>
      <c r="F309" s="5">
        <v>300000</v>
      </c>
      <c r="G309" s="5">
        <v>450000</v>
      </c>
      <c r="H309" s="5">
        <f t="shared" si="67"/>
        <v>848000</v>
      </c>
    </row>
    <row r="310" spans="1:8" ht="15" customHeight="1" x14ac:dyDescent="0.25">
      <c r="A310" s="3"/>
      <c r="B310" s="4"/>
      <c r="C310" s="15"/>
      <c r="D310" s="16" t="s">
        <v>13</v>
      </c>
      <c r="E310" s="5">
        <v>98000</v>
      </c>
      <c r="F310" s="5">
        <v>740000</v>
      </c>
      <c r="G310" s="5">
        <f>52092+162840</f>
        <v>214932</v>
      </c>
      <c r="H310" s="5">
        <f t="shared" si="67"/>
        <v>1052932</v>
      </c>
    </row>
    <row r="311" spans="1:8" s="9" customFormat="1" x14ac:dyDescent="0.25">
      <c r="A311" s="6" t="s">
        <v>7</v>
      </c>
      <c r="B311" s="10" t="s">
        <v>148</v>
      </c>
      <c r="C311" s="28" t="s">
        <v>125</v>
      </c>
      <c r="D311" s="29"/>
      <c r="E311" s="8">
        <f>SUM(E306:E310)</f>
        <v>343000</v>
      </c>
      <c r="F311" s="8">
        <f t="shared" ref="F311:H311" si="69">SUM(F306:F310)</f>
        <v>1890000</v>
      </c>
      <c r="G311" s="8">
        <f t="shared" si="69"/>
        <v>1167900</v>
      </c>
      <c r="H311" s="8">
        <f t="shared" si="69"/>
        <v>3400900</v>
      </c>
    </row>
    <row r="312" spans="1:8" ht="15" customHeight="1" x14ac:dyDescent="0.25">
      <c r="A312" s="3" t="s">
        <v>149</v>
      </c>
      <c r="B312" s="4" t="s">
        <v>150</v>
      </c>
      <c r="C312" s="4" t="s">
        <v>90</v>
      </c>
      <c r="D312" s="5" t="s">
        <v>11</v>
      </c>
      <c r="E312" s="5">
        <v>267600</v>
      </c>
      <c r="F312" s="5">
        <f>450000+850000+660000</f>
        <v>1960000</v>
      </c>
      <c r="G312" s="5">
        <f>94000+76600+105000</f>
        <v>275600</v>
      </c>
      <c r="H312" s="5">
        <f t="shared" si="67"/>
        <v>2503200</v>
      </c>
    </row>
    <row r="313" spans="1:8" ht="15" customHeight="1" x14ac:dyDescent="0.25">
      <c r="A313" s="3"/>
      <c r="B313" s="4"/>
      <c r="C313" s="4"/>
      <c r="D313" s="5" t="s">
        <v>27</v>
      </c>
      <c r="E313" s="5">
        <v>39200</v>
      </c>
      <c r="F313" s="5">
        <v>98000</v>
      </c>
      <c r="G313" s="5">
        <f>56644*2</f>
        <v>113288</v>
      </c>
      <c r="H313" s="5">
        <f t="shared" si="67"/>
        <v>250488</v>
      </c>
    </row>
    <row r="314" spans="1:8" ht="15" customHeight="1" x14ac:dyDescent="0.25">
      <c r="A314" s="3"/>
      <c r="B314" s="4"/>
      <c r="C314" s="4"/>
      <c r="D314" s="5" t="s">
        <v>13</v>
      </c>
      <c r="E314" s="5">
        <v>98000</v>
      </c>
      <c r="F314" s="5">
        <v>200000</v>
      </c>
      <c r="G314" s="5">
        <f>57232*2</f>
        <v>114464</v>
      </c>
      <c r="H314" s="5">
        <f t="shared" si="67"/>
        <v>412464</v>
      </c>
    </row>
    <row r="315" spans="1:8" ht="15" customHeight="1" x14ac:dyDescent="0.25">
      <c r="A315" s="3"/>
      <c r="B315" s="4"/>
      <c r="C315" s="15"/>
      <c r="D315" s="16" t="s">
        <v>27</v>
      </c>
      <c r="E315" s="5">
        <v>196000</v>
      </c>
      <c r="F315" s="5">
        <v>1120000</v>
      </c>
      <c r="G315" s="5">
        <v>70560</v>
      </c>
      <c r="H315" s="5">
        <f t="shared" si="67"/>
        <v>1386560</v>
      </c>
    </row>
    <row r="316" spans="1:8" s="9" customFormat="1" x14ac:dyDescent="0.25">
      <c r="A316" s="6" t="s">
        <v>7</v>
      </c>
      <c r="B316" s="10" t="s">
        <v>150</v>
      </c>
      <c r="C316" s="28" t="s">
        <v>90</v>
      </c>
      <c r="D316" s="29"/>
      <c r="E316" s="8">
        <f>SUM(E312:E315)</f>
        <v>600800</v>
      </c>
      <c r="F316" s="8">
        <f t="shared" ref="F316:H316" si="70">SUM(F312:F315)</f>
        <v>3378000</v>
      </c>
      <c r="G316" s="8">
        <f t="shared" si="70"/>
        <v>573912</v>
      </c>
      <c r="H316" s="8">
        <f t="shared" si="70"/>
        <v>4552712</v>
      </c>
    </row>
    <row r="317" spans="1:8" ht="15" customHeight="1" x14ac:dyDescent="0.25">
      <c r="A317" s="3" t="s">
        <v>151</v>
      </c>
      <c r="B317" s="4" t="s">
        <v>152</v>
      </c>
      <c r="C317" s="4" t="s">
        <v>80</v>
      </c>
      <c r="D317" s="5" t="s">
        <v>12</v>
      </c>
      <c r="E317" s="5">
        <v>44600</v>
      </c>
      <c r="F317" s="5">
        <f>190000+330000</f>
        <v>520000</v>
      </c>
      <c r="G317" s="5"/>
      <c r="H317" s="5">
        <f t="shared" si="67"/>
        <v>564600</v>
      </c>
    </row>
    <row r="318" spans="1:8" ht="15" customHeight="1" x14ac:dyDescent="0.25">
      <c r="A318" s="3"/>
      <c r="B318" s="4"/>
      <c r="C318" s="4"/>
      <c r="D318" s="5" t="s">
        <v>12</v>
      </c>
      <c r="E318" s="5">
        <v>22300</v>
      </c>
      <c r="F318" s="5">
        <v>300000</v>
      </c>
      <c r="G318" s="5"/>
      <c r="H318" s="5">
        <f t="shared" si="67"/>
        <v>322300</v>
      </c>
    </row>
    <row r="319" spans="1:8" ht="15" customHeight="1" x14ac:dyDescent="0.25">
      <c r="A319" s="3"/>
      <c r="B319" s="4"/>
      <c r="C319" s="4"/>
      <c r="D319" s="5" t="s">
        <v>12</v>
      </c>
      <c r="E319" s="5">
        <v>24530</v>
      </c>
      <c r="F319" s="5">
        <v>250000</v>
      </c>
      <c r="G319" s="5"/>
      <c r="H319" s="5">
        <f t="shared" si="67"/>
        <v>274530</v>
      </c>
    </row>
    <row r="320" spans="1:8" ht="15" customHeight="1" x14ac:dyDescent="0.25">
      <c r="A320" s="3"/>
      <c r="B320" s="4"/>
      <c r="C320" s="4"/>
      <c r="D320" s="5" t="s">
        <v>13</v>
      </c>
      <c r="E320" s="5">
        <v>98000</v>
      </c>
      <c r="F320" s="5">
        <v>196000</v>
      </c>
      <c r="G320" s="5"/>
      <c r="H320" s="5">
        <f t="shared" si="67"/>
        <v>294000</v>
      </c>
    </row>
    <row r="321" spans="1:8" ht="15" customHeight="1" x14ac:dyDescent="0.25">
      <c r="A321" s="3"/>
      <c r="B321" s="4"/>
      <c r="C321" s="4"/>
      <c r="D321" s="5" t="s">
        <v>13</v>
      </c>
      <c r="E321" s="5">
        <v>49000</v>
      </c>
      <c r="F321" s="5">
        <v>98000</v>
      </c>
      <c r="G321" s="5"/>
      <c r="H321" s="5">
        <f t="shared" si="67"/>
        <v>147000</v>
      </c>
    </row>
    <row r="322" spans="1:8" ht="15" customHeight="1" x14ac:dyDescent="0.25">
      <c r="A322" s="3"/>
      <c r="B322" s="4"/>
      <c r="C322" s="4"/>
      <c r="D322" s="5" t="s">
        <v>13</v>
      </c>
      <c r="E322" s="5">
        <v>49000</v>
      </c>
      <c r="F322" s="5">
        <f>150000+230000</f>
        <v>380000</v>
      </c>
      <c r="G322" s="5"/>
      <c r="H322" s="5">
        <f t="shared" si="67"/>
        <v>429000</v>
      </c>
    </row>
    <row r="323" spans="1:8" ht="15" customHeight="1" x14ac:dyDescent="0.25">
      <c r="A323" s="3"/>
      <c r="B323" s="4"/>
      <c r="C323" s="4"/>
      <c r="D323" s="5" t="s">
        <v>54</v>
      </c>
      <c r="E323" s="5">
        <v>147000</v>
      </c>
      <c r="F323" s="5"/>
      <c r="G323" s="5"/>
      <c r="H323" s="5">
        <f t="shared" si="67"/>
        <v>147000</v>
      </c>
    </row>
    <row r="324" spans="1:8" ht="15" customHeight="1" x14ac:dyDescent="0.25">
      <c r="A324" s="3"/>
      <c r="B324" s="4"/>
      <c r="C324" s="4"/>
      <c r="D324" s="5" t="s">
        <v>153</v>
      </c>
      <c r="E324" s="5">
        <v>171500</v>
      </c>
      <c r="F324" s="5"/>
      <c r="G324" s="5"/>
      <c r="H324" s="5">
        <f t="shared" si="67"/>
        <v>171500</v>
      </c>
    </row>
    <row r="325" spans="1:8" ht="15" customHeight="1" x14ac:dyDescent="0.25">
      <c r="A325" s="3"/>
      <c r="B325" s="4"/>
      <c r="C325" s="4"/>
      <c r="D325" s="5" t="s">
        <v>16</v>
      </c>
      <c r="E325" s="5">
        <v>73500</v>
      </c>
      <c r="F325" s="5">
        <f>520000+230000</f>
        <v>750000</v>
      </c>
      <c r="G325" s="5"/>
      <c r="H325" s="5">
        <f t="shared" si="67"/>
        <v>823500</v>
      </c>
    </row>
    <row r="326" spans="1:8" s="9" customFormat="1" x14ac:dyDescent="0.25">
      <c r="A326" s="6" t="s">
        <v>7</v>
      </c>
      <c r="B326" s="10" t="s">
        <v>152</v>
      </c>
      <c r="C326" s="28" t="s">
        <v>80</v>
      </c>
      <c r="D326" s="29"/>
      <c r="E326" s="8">
        <f>SUM(E317:E325)</f>
        <v>679430</v>
      </c>
      <c r="F326" s="8">
        <f t="shared" ref="F326:H326" si="71">SUM(F317:F325)</f>
        <v>2494000</v>
      </c>
      <c r="G326" s="8">
        <f t="shared" si="71"/>
        <v>0</v>
      </c>
      <c r="H326" s="8">
        <f t="shared" si="71"/>
        <v>3173430</v>
      </c>
    </row>
    <row r="327" spans="1:8" ht="15" customHeight="1" x14ac:dyDescent="0.25">
      <c r="A327" s="3" t="s">
        <v>154</v>
      </c>
      <c r="B327" s="4" t="s">
        <v>155</v>
      </c>
      <c r="C327" s="4" t="s">
        <v>80</v>
      </c>
      <c r="D327" s="5" t="s">
        <v>11</v>
      </c>
      <c r="E327" s="5">
        <v>89200</v>
      </c>
      <c r="F327" s="5">
        <v>800000</v>
      </c>
      <c r="G327" s="5"/>
      <c r="H327" s="5">
        <f t="shared" si="67"/>
        <v>889200</v>
      </c>
    </row>
    <row r="328" spans="1:8" ht="15" customHeight="1" x14ac:dyDescent="0.25">
      <c r="A328" s="3"/>
      <c r="B328" s="4"/>
      <c r="C328" s="4"/>
      <c r="D328" s="5" t="s">
        <v>27</v>
      </c>
      <c r="E328" s="5">
        <v>49060</v>
      </c>
      <c r="F328" s="5">
        <v>360000</v>
      </c>
      <c r="G328" s="5"/>
      <c r="H328" s="5">
        <f t="shared" si="67"/>
        <v>409060</v>
      </c>
    </row>
    <row r="329" spans="1:8" ht="15" customHeight="1" x14ac:dyDescent="0.25">
      <c r="A329" s="3"/>
      <c r="B329" s="4"/>
      <c r="C329" s="4"/>
      <c r="D329" s="5" t="s">
        <v>13</v>
      </c>
      <c r="E329" s="5">
        <v>122500</v>
      </c>
      <c r="F329" s="5">
        <f>49000+880000</f>
        <v>929000</v>
      </c>
      <c r="G329" s="5"/>
      <c r="H329" s="5">
        <f t="shared" si="67"/>
        <v>1051500</v>
      </c>
    </row>
    <row r="330" spans="1:8" ht="15" customHeight="1" x14ac:dyDescent="0.25">
      <c r="A330" s="3"/>
      <c r="B330" s="4"/>
      <c r="C330" s="4"/>
      <c r="D330" s="5" t="s">
        <v>12</v>
      </c>
      <c r="E330" s="5">
        <v>73590</v>
      </c>
      <c r="F330" s="5">
        <v>1050000</v>
      </c>
      <c r="G330" s="5"/>
      <c r="H330" s="5">
        <f t="shared" si="67"/>
        <v>1123590</v>
      </c>
    </row>
    <row r="331" spans="1:8" ht="15" customHeight="1" x14ac:dyDescent="0.25">
      <c r="A331" s="3"/>
      <c r="B331" s="4"/>
      <c r="C331" s="4"/>
      <c r="D331" s="5" t="s">
        <v>27</v>
      </c>
      <c r="E331" s="5">
        <v>24500</v>
      </c>
      <c r="F331" s="5">
        <v>49000</v>
      </c>
      <c r="G331" s="5"/>
      <c r="H331" s="5">
        <f t="shared" si="67"/>
        <v>73500</v>
      </c>
    </row>
    <row r="332" spans="1:8" ht="15" customHeight="1" x14ac:dyDescent="0.25">
      <c r="A332" s="3"/>
      <c r="B332" s="4"/>
      <c r="C332" s="4"/>
      <c r="D332" s="5" t="s">
        <v>156</v>
      </c>
      <c r="E332" s="5">
        <v>24500</v>
      </c>
      <c r="F332" s="5">
        <v>49000</v>
      </c>
      <c r="G332" s="5"/>
      <c r="H332" s="5">
        <f t="shared" si="67"/>
        <v>73500</v>
      </c>
    </row>
    <row r="333" spans="1:8" ht="15" customHeight="1" x14ac:dyDescent="0.25">
      <c r="A333" s="3"/>
      <c r="B333" s="4"/>
      <c r="C333" s="4"/>
      <c r="D333" s="5" t="s">
        <v>27</v>
      </c>
      <c r="E333" s="5">
        <v>49000</v>
      </c>
      <c r="F333" s="5">
        <v>320000</v>
      </c>
      <c r="G333" s="5"/>
      <c r="H333" s="5">
        <f t="shared" si="67"/>
        <v>369000</v>
      </c>
    </row>
    <row r="334" spans="1:8" ht="15" customHeight="1" x14ac:dyDescent="0.25">
      <c r="A334" s="3"/>
      <c r="B334" s="4"/>
      <c r="C334" s="4"/>
      <c r="D334" s="5" t="s">
        <v>15</v>
      </c>
      <c r="E334" s="5">
        <v>122500</v>
      </c>
      <c r="F334" s="5">
        <v>1250000</v>
      </c>
      <c r="G334" s="5"/>
      <c r="H334" s="5">
        <f t="shared" si="67"/>
        <v>1372500</v>
      </c>
    </row>
    <row r="335" spans="1:8" ht="15" customHeight="1" x14ac:dyDescent="0.25">
      <c r="A335" s="3"/>
      <c r="B335" s="4"/>
      <c r="C335" s="4"/>
      <c r="D335" s="5" t="s">
        <v>27</v>
      </c>
      <c r="E335" s="5">
        <v>24500</v>
      </c>
      <c r="F335" s="5">
        <v>49000</v>
      </c>
      <c r="G335" s="5"/>
      <c r="H335" s="5">
        <f t="shared" si="67"/>
        <v>73500</v>
      </c>
    </row>
    <row r="336" spans="1:8" ht="15" customHeight="1" x14ac:dyDescent="0.25">
      <c r="A336" s="3"/>
      <c r="B336" s="4"/>
      <c r="C336" s="4"/>
      <c r="D336" s="5" t="s">
        <v>141</v>
      </c>
      <c r="E336" s="5">
        <v>73500</v>
      </c>
      <c r="F336" s="5">
        <v>800000</v>
      </c>
      <c r="G336" s="5"/>
      <c r="H336" s="5">
        <f>SUM(E336:G336)</f>
        <v>873500</v>
      </c>
    </row>
    <row r="337" spans="1:8" ht="15" customHeight="1" x14ac:dyDescent="0.25">
      <c r="A337" s="3"/>
      <c r="B337" s="4"/>
      <c r="C337" s="4"/>
      <c r="D337" s="5" t="s">
        <v>16</v>
      </c>
      <c r="E337" s="5">
        <v>73500</v>
      </c>
      <c r="F337" s="5">
        <f>49000+360000</f>
        <v>409000</v>
      </c>
      <c r="G337" s="5"/>
      <c r="H337" s="5">
        <f>SUM(E337:G337)</f>
        <v>482500</v>
      </c>
    </row>
    <row r="338" spans="1:8" ht="15" customHeight="1" x14ac:dyDescent="0.25">
      <c r="A338" s="3"/>
      <c r="B338" s="4"/>
      <c r="C338" s="4"/>
      <c r="D338" s="5" t="s">
        <v>141</v>
      </c>
      <c r="E338" s="5">
        <v>171500</v>
      </c>
      <c r="F338" s="5">
        <f>49000+450000+500000</f>
        <v>999000</v>
      </c>
      <c r="G338" s="5"/>
      <c r="H338" s="5">
        <f>SUM(E338:G338)</f>
        <v>1170500</v>
      </c>
    </row>
    <row r="339" spans="1:8" ht="15" customHeight="1" x14ac:dyDescent="0.25">
      <c r="A339" s="3"/>
      <c r="B339" s="4"/>
      <c r="C339" s="4"/>
      <c r="D339" s="5" t="s">
        <v>54</v>
      </c>
      <c r="E339" s="5">
        <v>49000</v>
      </c>
      <c r="F339" s="5">
        <f>49000+80000</f>
        <v>129000</v>
      </c>
      <c r="G339" s="5"/>
      <c r="H339" s="5">
        <f>SUM(E339:G339)</f>
        <v>178000</v>
      </c>
    </row>
    <row r="340" spans="1:8" ht="15" customHeight="1" x14ac:dyDescent="0.25">
      <c r="A340" s="3"/>
      <c r="B340" s="4"/>
      <c r="C340" s="4"/>
      <c r="D340" s="5" t="s">
        <v>15</v>
      </c>
      <c r="E340" s="5">
        <v>98000</v>
      </c>
      <c r="F340" s="5">
        <v>840000</v>
      </c>
      <c r="G340" s="5"/>
      <c r="H340" s="5">
        <f>SUM(E340:G340)</f>
        <v>938000</v>
      </c>
    </row>
    <row r="341" spans="1:8" ht="15" customHeight="1" x14ac:dyDescent="0.25">
      <c r="A341" s="3"/>
      <c r="B341" s="4"/>
      <c r="C341" s="4"/>
      <c r="D341" s="5" t="s">
        <v>16</v>
      </c>
      <c r="E341" s="5">
        <v>122500</v>
      </c>
      <c r="F341" s="5">
        <v>245000</v>
      </c>
      <c r="G341" s="5"/>
      <c r="H341" s="5">
        <f t="shared" si="67"/>
        <v>367500</v>
      </c>
    </row>
    <row r="342" spans="1:8" ht="15" customHeight="1" x14ac:dyDescent="0.25">
      <c r="A342" s="3"/>
      <c r="B342" s="4"/>
      <c r="C342" s="15"/>
      <c r="D342" s="16" t="s">
        <v>15</v>
      </c>
      <c r="E342" s="5">
        <v>27000</v>
      </c>
      <c r="F342" s="5">
        <v>250000</v>
      </c>
      <c r="G342" s="5"/>
      <c r="H342" s="5">
        <f t="shared" si="67"/>
        <v>277000</v>
      </c>
    </row>
    <row r="343" spans="1:8" ht="15" customHeight="1" x14ac:dyDescent="0.25">
      <c r="A343" s="3"/>
      <c r="B343" s="4"/>
      <c r="C343" s="15"/>
      <c r="D343" s="16" t="s">
        <v>15</v>
      </c>
      <c r="E343" s="5">
        <v>27000</v>
      </c>
      <c r="F343" s="5">
        <v>250000</v>
      </c>
      <c r="G343" s="5"/>
      <c r="H343" s="5">
        <f t="shared" si="67"/>
        <v>277000</v>
      </c>
    </row>
    <row r="344" spans="1:8" s="9" customFormat="1" x14ac:dyDescent="0.25">
      <c r="A344" s="6" t="s">
        <v>7</v>
      </c>
      <c r="B344" s="10" t="s">
        <v>155</v>
      </c>
      <c r="C344" s="28" t="s">
        <v>80</v>
      </c>
      <c r="D344" s="29"/>
      <c r="E344" s="8">
        <f>SUM(E327:E343)</f>
        <v>1221350</v>
      </c>
      <c r="F344" s="8">
        <f t="shared" ref="F344:H344" si="72">SUM(F327:F343)</f>
        <v>8778000</v>
      </c>
      <c r="G344" s="8">
        <f t="shared" si="72"/>
        <v>0</v>
      </c>
      <c r="H344" s="8">
        <f t="shared" si="72"/>
        <v>9999350</v>
      </c>
    </row>
    <row r="345" spans="1:8" ht="15" customHeight="1" x14ac:dyDescent="0.25">
      <c r="A345" s="3" t="s">
        <v>157</v>
      </c>
      <c r="B345" s="4" t="s">
        <v>158</v>
      </c>
      <c r="C345" s="4" t="s">
        <v>24</v>
      </c>
      <c r="D345" s="5" t="s">
        <v>20</v>
      </c>
      <c r="E345" s="5">
        <v>285440</v>
      </c>
      <c r="F345" s="5">
        <v>713600</v>
      </c>
      <c r="G345" s="5">
        <f>11596+12756</f>
        <v>24352</v>
      </c>
      <c r="H345" s="5">
        <f t="shared" si="67"/>
        <v>1023392</v>
      </c>
    </row>
    <row r="346" spans="1:8" ht="15" customHeight="1" x14ac:dyDescent="0.25">
      <c r="A346" s="3"/>
      <c r="B346" s="4"/>
      <c r="C346" s="4"/>
      <c r="D346" s="5" t="s">
        <v>20</v>
      </c>
      <c r="E346" s="5">
        <v>215600</v>
      </c>
      <c r="F346" s="5">
        <v>539000</v>
      </c>
      <c r="G346" s="5">
        <f>12348*2</f>
        <v>24696</v>
      </c>
      <c r="H346" s="5">
        <f>SUM(E346:G346)</f>
        <v>779296</v>
      </c>
    </row>
    <row r="347" spans="1:8" ht="15" customHeight="1" x14ac:dyDescent="0.25">
      <c r="A347" s="3"/>
      <c r="B347" s="4"/>
      <c r="C347" s="4"/>
      <c r="D347" s="5" t="s">
        <v>20</v>
      </c>
      <c r="E347" s="5">
        <v>588000</v>
      </c>
      <c r="F347" s="5">
        <v>1470000</v>
      </c>
      <c r="G347" s="5">
        <f>16856*2</f>
        <v>33712</v>
      </c>
      <c r="H347" s="5">
        <f>SUM(E347:G347)</f>
        <v>2091712</v>
      </c>
    </row>
    <row r="348" spans="1:8" ht="15" customHeight="1" x14ac:dyDescent="0.25">
      <c r="A348" s="3"/>
      <c r="B348" s="4"/>
      <c r="C348" s="4"/>
      <c r="D348" s="5" t="s">
        <v>20</v>
      </c>
      <c r="E348" s="5">
        <v>548800</v>
      </c>
      <c r="F348" s="5">
        <v>1372000</v>
      </c>
      <c r="G348" s="5">
        <f>12740*2</f>
        <v>25480</v>
      </c>
      <c r="H348" s="5">
        <f t="shared" si="67"/>
        <v>1946280</v>
      </c>
    </row>
    <row r="349" spans="1:8" s="9" customFormat="1" x14ac:dyDescent="0.25">
      <c r="A349" s="6" t="s">
        <v>7</v>
      </c>
      <c r="B349" s="10" t="s">
        <v>158</v>
      </c>
      <c r="C349" s="28" t="s">
        <v>24</v>
      </c>
      <c r="D349" s="29"/>
      <c r="E349" s="8">
        <f>SUM(E345:E348)</f>
        <v>1637840</v>
      </c>
      <c r="F349" s="8">
        <f t="shared" ref="F349:H349" si="73">SUM(F345:F348)</f>
        <v>4094600</v>
      </c>
      <c r="G349" s="8">
        <f t="shared" si="73"/>
        <v>108240</v>
      </c>
      <c r="H349" s="8">
        <f t="shared" si="73"/>
        <v>5840680</v>
      </c>
    </row>
    <row r="350" spans="1:8" s="9" customFormat="1" x14ac:dyDescent="0.25">
      <c r="A350" s="17"/>
      <c r="B350" s="18" t="s">
        <v>268</v>
      </c>
      <c r="C350" s="20" t="s">
        <v>269</v>
      </c>
      <c r="D350" s="20" t="s">
        <v>27</v>
      </c>
      <c r="E350" s="21">
        <v>54000</v>
      </c>
      <c r="F350" s="21">
        <v>500000</v>
      </c>
      <c r="G350" s="21">
        <f>78000+70220</f>
        <v>148220</v>
      </c>
      <c r="H350" s="5">
        <f>SUM(E350:G350)</f>
        <v>702220</v>
      </c>
    </row>
    <row r="351" spans="1:8" s="9" customFormat="1" x14ac:dyDescent="0.25">
      <c r="A351" s="17"/>
      <c r="B351" s="18"/>
      <c r="C351" s="19"/>
      <c r="D351" s="20" t="s">
        <v>12</v>
      </c>
      <c r="E351" s="21">
        <v>54000</v>
      </c>
      <c r="F351" s="21">
        <v>440000</v>
      </c>
      <c r="G351" s="21"/>
      <c r="H351" s="5">
        <f t="shared" ref="H351" si="74">SUM(E351:G351)</f>
        <v>494000</v>
      </c>
    </row>
    <row r="352" spans="1:8" s="9" customFormat="1" x14ac:dyDescent="0.25">
      <c r="A352" s="6" t="s">
        <v>7</v>
      </c>
      <c r="B352" s="10" t="s">
        <v>268</v>
      </c>
      <c r="C352" s="13"/>
      <c r="D352" s="14"/>
      <c r="E352" s="8">
        <f>SUM(E350:E351)</f>
        <v>108000</v>
      </c>
      <c r="F352" s="8">
        <f t="shared" ref="F352:H352" si="75">SUM(F350:F351)</f>
        <v>940000</v>
      </c>
      <c r="G352" s="8">
        <f t="shared" si="75"/>
        <v>148220</v>
      </c>
      <c r="H352" s="8">
        <f t="shared" si="75"/>
        <v>1196220</v>
      </c>
    </row>
    <row r="353" spans="1:8" ht="15" customHeight="1" x14ac:dyDescent="0.25">
      <c r="A353" s="3" t="s">
        <v>159</v>
      </c>
      <c r="B353" s="4" t="s">
        <v>160</v>
      </c>
      <c r="C353" s="4" t="s">
        <v>19</v>
      </c>
      <c r="D353" s="5" t="s">
        <v>27</v>
      </c>
      <c r="E353" s="5">
        <v>44600</v>
      </c>
      <c r="F353" s="5">
        <v>170000</v>
      </c>
      <c r="G353" s="5">
        <f>32112*2</f>
        <v>64224</v>
      </c>
      <c r="H353" s="5">
        <f t="shared" si="67"/>
        <v>278824</v>
      </c>
    </row>
    <row r="354" spans="1:8" ht="15" customHeight="1" x14ac:dyDescent="0.25">
      <c r="A354" s="3"/>
      <c r="B354" s="4"/>
      <c r="C354" s="4"/>
      <c r="D354" s="5" t="s">
        <v>27</v>
      </c>
      <c r="E354" s="5">
        <v>49000</v>
      </c>
      <c r="F354" s="5">
        <v>600000</v>
      </c>
      <c r="G354" s="5">
        <f>35280*2</f>
        <v>70560</v>
      </c>
      <c r="H354" s="5">
        <f t="shared" si="67"/>
        <v>719560</v>
      </c>
    </row>
    <row r="355" spans="1:8" ht="15" customHeight="1" x14ac:dyDescent="0.25">
      <c r="A355" s="3"/>
      <c r="B355" s="4"/>
      <c r="C355" s="4"/>
      <c r="D355" s="5" t="s">
        <v>13</v>
      </c>
      <c r="E355" s="5">
        <v>122500</v>
      </c>
      <c r="F355" s="5">
        <v>1800000</v>
      </c>
      <c r="G355" s="5">
        <f>56840*2</f>
        <v>113680</v>
      </c>
      <c r="H355" s="5">
        <f t="shared" si="67"/>
        <v>2036180</v>
      </c>
    </row>
    <row r="356" spans="1:8" ht="15" customHeight="1" x14ac:dyDescent="0.25">
      <c r="A356" s="3"/>
      <c r="B356" s="4"/>
      <c r="C356" s="4"/>
      <c r="D356" s="5" t="s">
        <v>15</v>
      </c>
      <c r="E356" s="5">
        <v>98000</v>
      </c>
      <c r="F356" s="5">
        <v>1250000</v>
      </c>
      <c r="G356" s="5">
        <f>117750+57624</f>
        <v>175374</v>
      </c>
      <c r="H356" s="5">
        <f t="shared" si="67"/>
        <v>1523374</v>
      </c>
    </row>
    <row r="357" spans="1:8" ht="15" customHeight="1" x14ac:dyDescent="0.25">
      <c r="A357" s="3"/>
      <c r="B357" s="4"/>
      <c r="C357" s="4"/>
      <c r="D357" s="5" t="s">
        <v>16</v>
      </c>
      <c r="E357" s="5">
        <v>147000</v>
      </c>
      <c r="F357" s="5">
        <f>1400000+180000</f>
        <v>1580000</v>
      </c>
      <c r="G357" s="5">
        <f>67816*2</f>
        <v>135632</v>
      </c>
      <c r="H357" s="5">
        <f t="shared" si="67"/>
        <v>1862632</v>
      </c>
    </row>
    <row r="358" spans="1:8" ht="15" customHeight="1" x14ac:dyDescent="0.25">
      <c r="A358" s="3"/>
      <c r="B358" s="4"/>
      <c r="C358" s="15"/>
      <c r="D358" s="16" t="s">
        <v>12</v>
      </c>
      <c r="E358" s="5">
        <v>147000</v>
      </c>
      <c r="F358" s="5">
        <f>1050000+900000</f>
        <v>1950000</v>
      </c>
      <c r="G358" s="5">
        <f>61740+68796</f>
        <v>130536</v>
      </c>
      <c r="H358" s="5">
        <f t="shared" si="67"/>
        <v>2227536</v>
      </c>
    </row>
    <row r="359" spans="1:8" s="9" customFormat="1" x14ac:dyDescent="0.25">
      <c r="A359" s="6" t="s">
        <v>7</v>
      </c>
      <c r="B359" s="10" t="s">
        <v>160</v>
      </c>
      <c r="C359" s="28" t="s">
        <v>19</v>
      </c>
      <c r="D359" s="29"/>
      <c r="E359" s="8">
        <f>SUM(E353:E358)</f>
        <v>608100</v>
      </c>
      <c r="F359" s="8">
        <f t="shared" ref="F359:H359" si="76">SUM(F353:F358)</f>
        <v>7350000</v>
      </c>
      <c r="G359" s="8">
        <f t="shared" si="76"/>
        <v>690006</v>
      </c>
      <c r="H359" s="8">
        <f t="shared" si="76"/>
        <v>8648106</v>
      </c>
    </row>
    <row r="360" spans="1:8" ht="15" customHeight="1" x14ac:dyDescent="0.25">
      <c r="A360" s="3" t="s">
        <v>161</v>
      </c>
      <c r="B360" s="4" t="s">
        <v>162</v>
      </c>
      <c r="C360" s="4" t="s">
        <v>45</v>
      </c>
      <c r="D360" s="5" t="s">
        <v>15</v>
      </c>
      <c r="E360" s="5">
        <v>0</v>
      </c>
      <c r="F360" s="5">
        <v>0</v>
      </c>
      <c r="G360" s="5">
        <v>309000</v>
      </c>
      <c r="H360" s="5">
        <f t="shared" ref="H360:H397" si="77">SUM(E360:G360)</f>
        <v>309000</v>
      </c>
    </row>
    <row r="361" spans="1:8" ht="15" customHeight="1" x14ac:dyDescent="0.25">
      <c r="A361" s="3"/>
      <c r="B361" s="4"/>
      <c r="C361" s="4"/>
      <c r="D361" s="5" t="s">
        <v>27</v>
      </c>
      <c r="E361" s="5">
        <v>24500</v>
      </c>
      <c r="F361" s="5">
        <v>150000</v>
      </c>
      <c r="G361" s="5">
        <v>70560</v>
      </c>
      <c r="H361" s="5">
        <f t="shared" si="77"/>
        <v>245060</v>
      </c>
    </row>
    <row r="362" spans="1:8" ht="15" customHeight="1" x14ac:dyDescent="0.25">
      <c r="A362" s="3"/>
      <c r="B362" s="4"/>
      <c r="C362" s="4"/>
      <c r="D362" s="5" t="s">
        <v>13</v>
      </c>
      <c r="E362" s="5">
        <v>49000</v>
      </c>
      <c r="F362" s="5">
        <v>200000</v>
      </c>
      <c r="G362" s="5">
        <v>258280</v>
      </c>
      <c r="H362" s="5">
        <f t="shared" si="77"/>
        <v>507280</v>
      </c>
    </row>
    <row r="363" spans="1:8" ht="15" customHeight="1" x14ac:dyDescent="0.25">
      <c r="A363" s="3"/>
      <c r="B363" s="4"/>
      <c r="C363" s="4"/>
      <c r="D363" s="5" t="s">
        <v>141</v>
      </c>
      <c r="E363" s="5">
        <v>24500</v>
      </c>
      <c r="F363" s="5">
        <v>250000</v>
      </c>
      <c r="G363" s="5">
        <v>510140</v>
      </c>
      <c r="H363" s="5">
        <f t="shared" si="77"/>
        <v>784640</v>
      </c>
    </row>
    <row r="364" spans="1:8" ht="15" customHeight="1" x14ac:dyDescent="0.25">
      <c r="A364" s="3"/>
      <c r="B364" s="4"/>
      <c r="C364" s="4"/>
      <c r="D364" s="5" t="s">
        <v>14</v>
      </c>
      <c r="E364" s="5">
        <v>24500</v>
      </c>
      <c r="F364" s="5">
        <v>170000</v>
      </c>
      <c r="G364" s="5">
        <v>926262</v>
      </c>
      <c r="H364" s="5">
        <f t="shared" si="77"/>
        <v>1120762</v>
      </c>
    </row>
    <row r="365" spans="1:8" ht="15" customHeight="1" x14ac:dyDescent="0.25">
      <c r="A365" s="3"/>
      <c r="B365" s="4"/>
      <c r="C365" s="4"/>
      <c r="D365" s="5" t="s">
        <v>27</v>
      </c>
      <c r="E365" s="5">
        <v>49000</v>
      </c>
      <c r="F365" s="5">
        <v>397500</v>
      </c>
      <c r="G365" s="5">
        <f>35280*2</f>
        <v>70560</v>
      </c>
      <c r="H365" s="5">
        <f t="shared" si="77"/>
        <v>517060</v>
      </c>
    </row>
    <row r="366" spans="1:8" s="9" customFormat="1" x14ac:dyDescent="0.25">
      <c r="A366" s="6" t="s">
        <v>7</v>
      </c>
      <c r="B366" s="10" t="s">
        <v>162</v>
      </c>
      <c r="C366" s="28" t="s">
        <v>45</v>
      </c>
      <c r="D366" s="29"/>
      <c r="E366" s="8">
        <f>SUM(E360:E365)</f>
        <v>171500</v>
      </c>
      <c r="F366" s="8">
        <f t="shared" ref="F366:H366" si="78">SUM(F360:F365)</f>
        <v>1167500</v>
      </c>
      <c r="G366" s="8">
        <f t="shared" si="78"/>
        <v>2144802</v>
      </c>
      <c r="H366" s="11">
        <f>SUM(H360:H365)+1203629</f>
        <v>4687431</v>
      </c>
    </row>
    <row r="367" spans="1:8" s="9" customFormat="1" x14ac:dyDescent="0.25">
      <c r="A367" s="17"/>
      <c r="B367" s="24" t="s">
        <v>280</v>
      </c>
      <c r="C367" s="20" t="s">
        <v>281</v>
      </c>
      <c r="D367" s="20" t="s">
        <v>13</v>
      </c>
      <c r="E367" s="21">
        <v>324000</v>
      </c>
      <c r="F367" s="21">
        <f>300000+920000+450000+162000</f>
        <v>1832000</v>
      </c>
      <c r="G367" s="21">
        <f>64152+12312+162840+73220+12312+64152</f>
        <v>388988</v>
      </c>
      <c r="H367" s="5">
        <f t="shared" si="77"/>
        <v>2544988</v>
      </c>
    </row>
    <row r="368" spans="1:8" s="9" customFormat="1" x14ac:dyDescent="0.25">
      <c r="A368" s="6" t="s">
        <v>7</v>
      </c>
      <c r="B368" s="10" t="s">
        <v>279</v>
      </c>
      <c r="C368" s="26" t="s">
        <v>115</v>
      </c>
      <c r="D368" s="27"/>
      <c r="E368" s="8">
        <f>SUM(E367)</f>
        <v>324000</v>
      </c>
      <c r="F368" s="8">
        <f t="shared" ref="F368:H368" si="79">SUM(F367)</f>
        <v>1832000</v>
      </c>
      <c r="G368" s="8">
        <f t="shared" si="79"/>
        <v>388988</v>
      </c>
      <c r="H368" s="8">
        <f t="shared" si="79"/>
        <v>2544988</v>
      </c>
    </row>
    <row r="369" spans="1:8" ht="15.75" customHeight="1" x14ac:dyDescent="0.25">
      <c r="A369" s="3" t="s">
        <v>163</v>
      </c>
      <c r="B369" s="4" t="s">
        <v>164</v>
      </c>
      <c r="C369" s="4" t="s">
        <v>53</v>
      </c>
      <c r="D369" s="5" t="s">
        <v>21</v>
      </c>
      <c r="E369" s="5">
        <v>24500</v>
      </c>
      <c r="F369" s="5">
        <v>220000</v>
      </c>
      <c r="G369" s="5">
        <v>887646</v>
      </c>
      <c r="H369" s="5">
        <f t="shared" si="77"/>
        <v>1132146</v>
      </c>
    </row>
    <row r="370" spans="1:8" ht="15" customHeight="1" x14ac:dyDescent="0.25">
      <c r="A370" s="3"/>
      <c r="B370" s="4"/>
      <c r="C370" s="4"/>
      <c r="D370" s="5" t="s">
        <v>141</v>
      </c>
      <c r="E370" s="5">
        <v>98000</v>
      </c>
      <c r="F370" s="5">
        <v>300000</v>
      </c>
      <c r="G370" s="5">
        <v>450847</v>
      </c>
      <c r="H370" s="5">
        <f t="shared" si="77"/>
        <v>848847</v>
      </c>
    </row>
    <row r="371" spans="1:8" s="9" customFormat="1" x14ac:dyDescent="0.25">
      <c r="A371" s="6" t="s">
        <v>7</v>
      </c>
      <c r="B371" s="10" t="s">
        <v>164</v>
      </c>
      <c r="C371" s="28" t="s">
        <v>53</v>
      </c>
      <c r="D371" s="29"/>
      <c r="E371" s="8">
        <f>SUM(E369:E370)</f>
        <v>122500</v>
      </c>
      <c r="F371" s="8">
        <f t="shared" ref="F371:H371" si="80">SUM(F369:F370)</f>
        <v>520000</v>
      </c>
      <c r="G371" s="8">
        <f t="shared" si="80"/>
        <v>1338493</v>
      </c>
      <c r="H371" s="8">
        <f t="shared" si="80"/>
        <v>1980993</v>
      </c>
    </row>
    <row r="372" spans="1:8" ht="15" customHeight="1" x14ac:dyDescent="0.25">
      <c r="A372" s="3" t="s">
        <v>165</v>
      </c>
      <c r="B372" s="4" t="s">
        <v>166</v>
      </c>
      <c r="C372" s="4" t="s">
        <v>45</v>
      </c>
      <c r="D372" s="5" t="s">
        <v>14</v>
      </c>
      <c r="E372" s="5">
        <v>89200</v>
      </c>
      <c r="F372" s="5">
        <v>800000</v>
      </c>
      <c r="G372" s="5">
        <v>1646302</v>
      </c>
      <c r="H372" s="5">
        <f t="shared" si="77"/>
        <v>2535502</v>
      </c>
    </row>
    <row r="373" spans="1:8" ht="15" customHeight="1" x14ac:dyDescent="0.25">
      <c r="A373" s="3"/>
      <c r="B373" s="4"/>
      <c r="C373" s="4"/>
      <c r="D373" s="5" t="s">
        <v>15</v>
      </c>
      <c r="E373" s="5">
        <v>0</v>
      </c>
      <c r="F373" s="5">
        <v>0</v>
      </c>
      <c r="G373" s="5">
        <v>309000</v>
      </c>
      <c r="H373" s="5">
        <f t="shared" si="77"/>
        <v>309000</v>
      </c>
    </row>
    <row r="374" spans="1:8" ht="15" customHeight="1" x14ac:dyDescent="0.25">
      <c r="A374" s="3"/>
      <c r="B374" s="4"/>
      <c r="C374" s="4"/>
      <c r="D374" s="5" t="s">
        <v>27</v>
      </c>
      <c r="E374" s="5">
        <v>24500</v>
      </c>
      <c r="F374" s="5">
        <v>200000</v>
      </c>
      <c r="G374" s="5">
        <v>70560</v>
      </c>
      <c r="H374" s="5">
        <f t="shared" si="77"/>
        <v>295060</v>
      </c>
    </row>
    <row r="375" spans="1:8" ht="15" customHeight="1" x14ac:dyDescent="0.25">
      <c r="A375" s="3"/>
      <c r="B375" s="4"/>
      <c r="C375" s="4"/>
      <c r="D375" s="5" t="s">
        <v>13</v>
      </c>
      <c r="E375" s="5">
        <v>73500</v>
      </c>
      <c r="F375" s="5">
        <v>400000</v>
      </c>
      <c r="G375" s="5">
        <f>122947+95440</f>
        <v>218387</v>
      </c>
      <c r="H375" s="5">
        <f t="shared" si="77"/>
        <v>691887</v>
      </c>
    </row>
    <row r="376" spans="1:8" ht="15" customHeight="1" x14ac:dyDescent="0.25">
      <c r="A376" s="3"/>
      <c r="B376" s="4"/>
      <c r="C376" s="4"/>
      <c r="D376" s="5" t="s">
        <v>141</v>
      </c>
      <c r="E376" s="5">
        <v>24500</v>
      </c>
      <c r="F376" s="5">
        <v>250000</v>
      </c>
      <c r="G376" s="5">
        <v>510140</v>
      </c>
      <c r="H376" s="5">
        <f t="shared" si="77"/>
        <v>784640</v>
      </c>
    </row>
    <row r="377" spans="1:8" ht="15" customHeight="1" x14ac:dyDescent="0.25">
      <c r="A377" s="3"/>
      <c r="B377" s="4"/>
      <c r="C377" s="4"/>
      <c r="D377" s="5" t="s">
        <v>27</v>
      </c>
      <c r="E377" s="5">
        <v>49000</v>
      </c>
      <c r="F377" s="5">
        <v>397500</v>
      </c>
      <c r="G377" s="5">
        <f>35280*2</f>
        <v>70560</v>
      </c>
      <c r="H377" s="5">
        <f>SUM(E377:G377)</f>
        <v>517060</v>
      </c>
    </row>
    <row r="378" spans="1:8" s="9" customFormat="1" x14ac:dyDescent="0.25">
      <c r="A378" s="6" t="s">
        <v>7</v>
      </c>
      <c r="B378" s="10" t="s">
        <v>166</v>
      </c>
      <c r="C378" s="28" t="s">
        <v>45</v>
      </c>
      <c r="D378" s="29"/>
      <c r="E378" s="8">
        <f>SUM(E372:E377)</f>
        <v>260700</v>
      </c>
      <c r="F378" s="8">
        <f t="shared" ref="F378:H378" si="81">SUM(F372:F377)</f>
        <v>2047500</v>
      </c>
      <c r="G378" s="8">
        <f t="shared" si="81"/>
        <v>2824949</v>
      </c>
      <c r="H378" s="8">
        <f t="shared" si="81"/>
        <v>5133149</v>
      </c>
    </row>
    <row r="379" spans="1:8" ht="15" customHeight="1" x14ac:dyDescent="0.25">
      <c r="A379" s="3" t="s">
        <v>167</v>
      </c>
      <c r="B379" s="4" t="s">
        <v>168</v>
      </c>
      <c r="C379" s="4" t="s">
        <v>24</v>
      </c>
      <c r="D379" s="5" t="s">
        <v>30</v>
      </c>
      <c r="E379" s="5">
        <v>176400</v>
      </c>
      <c r="F379" s="5">
        <v>441000</v>
      </c>
      <c r="G379" s="5">
        <f>20580*2</f>
        <v>41160</v>
      </c>
      <c r="H379" s="5">
        <f t="shared" si="77"/>
        <v>658560</v>
      </c>
    </row>
    <row r="380" spans="1:8" ht="15" customHeight="1" x14ac:dyDescent="0.25">
      <c r="A380" s="3"/>
      <c r="B380" s="4"/>
      <c r="C380" s="4"/>
      <c r="D380" s="5" t="s">
        <v>30</v>
      </c>
      <c r="E380" s="5">
        <v>274400</v>
      </c>
      <c r="F380" s="5">
        <f>2250000+250000+1000000</f>
        <v>3500000</v>
      </c>
      <c r="G380" s="5">
        <f>20580*2</f>
        <v>41160</v>
      </c>
      <c r="H380" s="5">
        <f t="shared" si="77"/>
        <v>3815560</v>
      </c>
    </row>
    <row r="381" spans="1:8" ht="15" customHeight="1" x14ac:dyDescent="0.25">
      <c r="A381" s="3"/>
      <c r="B381" s="4"/>
      <c r="C381" s="4"/>
      <c r="D381" s="5" t="s">
        <v>30</v>
      </c>
      <c r="E381" s="5">
        <v>117600</v>
      </c>
      <c r="F381" s="5">
        <v>294000</v>
      </c>
      <c r="G381" s="5">
        <f>19992*2</f>
        <v>39984</v>
      </c>
      <c r="H381" s="5">
        <f t="shared" si="77"/>
        <v>451584</v>
      </c>
    </row>
    <row r="382" spans="1:8" ht="15" customHeight="1" x14ac:dyDescent="0.25">
      <c r="A382" s="3"/>
      <c r="B382" s="4"/>
      <c r="C382" s="4"/>
      <c r="D382" s="5" t="s">
        <v>34</v>
      </c>
      <c r="E382" s="5">
        <v>392000</v>
      </c>
      <c r="F382" s="5">
        <f>1750000+98000</f>
        <v>1848000</v>
      </c>
      <c r="G382" s="5">
        <f>54096*2</f>
        <v>108192</v>
      </c>
      <c r="H382" s="5">
        <f>SUM(E382:G382)</f>
        <v>2348192</v>
      </c>
    </row>
    <row r="383" spans="1:8" ht="15" customHeight="1" x14ac:dyDescent="0.25">
      <c r="A383" s="3"/>
      <c r="B383" s="4"/>
      <c r="C383" s="4"/>
      <c r="D383" s="5" t="s">
        <v>14</v>
      </c>
      <c r="E383" s="5">
        <f>39200+98000+78400</f>
        <v>215600</v>
      </c>
      <c r="F383" s="5">
        <f>98000+245000+196000</f>
        <v>539000</v>
      </c>
      <c r="G383" s="5">
        <f>45472+41160+34888</f>
        <v>121520</v>
      </c>
      <c r="H383" s="5">
        <f t="shared" si="77"/>
        <v>876120</v>
      </c>
    </row>
    <row r="384" spans="1:8" ht="15" customHeight="1" x14ac:dyDescent="0.25">
      <c r="A384" s="3"/>
      <c r="B384" s="4"/>
      <c r="C384" s="15"/>
      <c r="D384" s="16" t="s">
        <v>30</v>
      </c>
      <c r="E384" s="5">
        <v>137200</v>
      </c>
      <c r="F384" s="5">
        <v>1750000</v>
      </c>
      <c r="G384" s="5">
        <f>19992+19992</f>
        <v>39984</v>
      </c>
      <c r="H384" s="5">
        <f t="shared" si="77"/>
        <v>1927184</v>
      </c>
    </row>
    <row r="385" spans="1:8" ht="15" customHeight="1" x14ac:dyDescent="0.25">
      <c r="A385" s="3"/>
      <c r="B385" s="4"/>
      <c r="C385" s="15"/>
      <c r="D385" s="16" t="s">
        <v>30</v>
      </c>
      <c r="E385" s="5">
        <f>21600*5</f>
        <v>108000</v>
      </c>
      <c r="F385" s="5">
        <f>800000+54000</f>
        <v>854000</v>
      </c>
      <c r="G385" s="5">
        <f>36288+19224+22680</f>
        <v>78192</v>
      </c>
      <c r="H385" s="5">
        <f t="shared" si="77"/>
        <v>1040192</v>
      </c>
    </row>
    <row r="386" spans="1:8" s="9" customFormat="1" x14ac:dyDescent="0.25">
      <c r="A386" s="6" t="s">
        <v>7</v>
      </c>
      <c r="B386" s="10" t="s">
        <v>168</v>
      </c>
      <c r="C386" s="28" t="s">
        <v>24</v>
      </c>
      <c r="D386" s="29"/>
      <c r="E386" s="8">
        <f>SUM(E379:E385)</f>
        <v>1421200</v>
      </c>
      <c r="F386" s="8">
        <f t="shared" ref="F386:H386" si="82">SUM(F379:F385)</f>
        <v>9226000</v>
      </c>
      <c r="G386" s="8">
        <f t="shared" si="82"/>
        <v>470192</v>
      </c>
      <c r="H386" s="8">
        <f t="shared" si="82"/>
        <v>11117392</v>
      </c>
    </row>
    <row r="387" spans="1:8" ht="15" customHeight="1" x14ac:dyDescent="0.25">
      <c r="A387" s="3" t="s">
        <v>169</v>
      </c>
      <c r="B387" s="4" t="s">
        <v>170</v>
      </c>
      <c r="C387" s="4" t="s">
        <v>24</v>
      </c>
      <c r="D387" s="5" t="s">
        <v>34</v>
      </c>
      <c r="E387" s="5">
        <v>230136</v>
      </c>
      <c r="F387" s="5">
        <f>575340+550000</f>
        <v>1125340</v>
      </c>
      <c r="G387" s="5">
        <f>24262+26689</f>
        <v>50951</v>
      </c>
      <c r="H387" s="5">
        <f t="shared" si="77"/>
        <v>1406427</v>
      </c>
    </row>
    <row r="388" spans="1:8" ht="15" customHeight="1" x14ac:dyDescent="0.25">
      <c r="A388" s="3"/>
      <c r="B388" s="4"/>
      <c r="C388" s="4"/>
      <c r="D388" s="5" t="s">
        <v>34</v>
      </c>
      <c r="E388" s="5">
        <v>137200</v>
      </c>
      <c r="F388" s="5">
        <f>98000+500000</f>
        <v>598000</v>
      </c>
      <c r="G388" s="5">
        <f>27244*2</f>
        <v>54488</v>
      </c>
      <c r="H388" s="5">
        <f t="shared" si="77"/>
        <v>789688</v>
      </c>
    </row>
    <row r="389" spans="1:8" ht="15" customHeight="1" x14ac:dyDescent="0.25">
      <c r="A389" s="3"/>
      <c r="B389" s="4"/>
      <c r="C389" s="4"/>
      <c r="D389" s="5" t="s">
        <v>34</v>
      </c>
      <c r="E389" s="5">
        <v>666400</v>
      </c>
      <c r="F389" s="5">
        <v>5100000</v>
      </c>
      <c r="G389" s="5">
        <f>21560*2</f>
        <v>43120</v>
      </c>
      <c r="H389" s="5">
        <f t="shared" si="77"/>
        <v>5809520</v>
      </c>
    </row>
    <row r="390" spans="1:8" s="9" customFormat="1" x14ac:dyDescent="0.25">
      <c r="A390" s="6" t="s">
        <v>7</v>
      </c>
      <c r="B390" s="10" t="s">
        <v>170</v>
      </c>
      <c r="C390" s="28" t="s">
        <v>24</v>
      </c>
      <c r="D390" s="29"/>
      <c r="E390" s="8">
        <f>SUM(E387:E389)</f>
        <v>1033736</v>
      </c>
      <c r="F390" s="8">
        <f t="shared" ref="F390:H390" si="83">SUM(F387:F389)</f>
        <v>6823340</v>
      </c>
      <c r="G390" s="8">
        <f t="shared" si="83"/>
        <v>148559</v>
      </c>
      <c r="H390" s="8">
        <f t="shared" si="83"/>
        <v>8005635</v>
      </c>
    </row>
    <row r="391" spans="1:8" ht="15" customHeight="1" x14ac:dyDescent="0.25">
      <c r="A391" s="3" t="s">
        <v>171</v>
      </c>
      <c r="B391" s="4" t="s">
        <v>172</v>
      </c>
      <c r="C391" s="4" t="s">
        <v>24</v>
      </c>
      <c r="D391" s="5" t="s">
        <v>27</v>
      </c>
      <c r="E391" s="5">
        <v>49000</v>
      </c>
      <c r="F391" s="5">
        <v>340000</v>
      </c>
      <c r="G391" s="5">
        <f>35000*2</f>
        <v>70000</v>
      </c>
      <c r="H391" s="5">
        <f t="shared" si="77"/>
        <v>459000</v>
      </c>
    </row>
    <row r="392" spans="1:8" ht="15" customHeight="1" x14ac:dyDescent="0.25">
      <c r="A392" s="3"/>
      <c r="B392" s="4"/>
      <c r="C392" s="4"/>
      <c r="D392" s="5" t="s">
        <v>13</v>
      </c>
      <c r="E392" s="5">
        <v>73500</v>
      </c>
      <c r="F392" s="5">
        <v>495000</v>
      </c>
      <c r="G392" s="5">
        <f>58212*2</f>
        <v>116424</v>
      </c>
      <c r="H392" s="5">
        <f t="shared" si="77"/>
        <v>684924</v>
      </c>
    </row>
    <row r="393" spans="1:8" ht="15" customHeight="1" x14ac:dyDescent="0.25">
      <c r="A393" s="3"/>
      <c r="B393" s="4"/>
      <c r="C393" s="4"/>
      <c r="D393" s="5" t="s">
        <v>15</v>
      </c>
      <c r="E393" s="5">
        <v>49000</v>
      </c>
      <c r="F393" s="5">
        <v>200000</v>
      </c>
      <c r="G393" s="5">
        <f>105000+20384+35280</f>
        <v>160664</v>
      </c>
      <c r="H393" s="5">
        <f t="shared" si="77"/>
        <v>409664</v>
      </c>
    </row>
    <row r="394" spans="1:8" ht="15" customHeight="1" x14ac:dyDescent="0.25">
      <c r="A394" s="3"/>
      <c r="B394" s="4"/>
      <c r="C394" s="4"/>
      <c r="D394" s="5" t="s">
        <v>15</v>
      </c>
      <c r="E394" s="5">
        <v>49000</v>
      </c>
      <c r="F394" s="5">
        <v>250000</v>
      </c>
      <c r="G394" s="5">
        <v>247000</v>
      </c>
      <c r="H394" s="5">
        <f t="shared" si="77"/>
        <v>546000</v>
      </c>
    </row>
    <row r="395" spans="1:8" ht="15" customHeight="1" x14ac:dyDescent="0.25">
      <c r="A395" s="3"/>
      <c r="B395" s="4"/>
      <c r="C395" s="4"/>
      <c r="D395" s="5" t="s">
        <v>16</v>
      </c>
      <c r="E395" s="5">
        <v>122500</v>
      </c>
      <c r="F395" s="5">
        <f>325000+600000+330000</f>
        <v>1255000</v>
      </c>
      <c r="G395" s="5">
        <f>71344*2</f>
        <v>142688</v>
      </c>
      <c r="H395" s="5">
        <f t="shared" si="77"/>
        <v>1520188</v>
      </c>
    </row>
    <row r="396" spans="1:8" ht="15" customHeight="1" x14ac:dyDescent="0.25">
      <c r="A396" s="3"/>
      <c r="B396" s="4"/>
      <c r="C396" s="4"/>
      <c r="D396" s="5" t="s">
        <v>34</v>
      </c>
      <c r="E396" s="5">
        <v>73500</v>
      </c>
      <c r="F396" s="5">
        <v>330000</v>
      </c>
      <c r="G396" s="5">
        <v>774736</v>
      </c>
      <c r="H396" s="5">
        <f t="shared" si="77"/>
        <v>1178236</v>
      </c>
    </row>
    <row r="397" spans="1:8" ht="15" customHeight="1" x14ac:dyDescent="0.25">
      <c r="A397" s="3"/>
      <c r="B397" s="4"/>
      <c r="C397" s="15"/>
      <c r="D397" s="16" t="s">
        <v>14</v>
      </c>
      <c r="E397" s="5">
        <v>135000</v>
      </c>
      <c r="F397" s="5">
        <f>880000+300000</f>
        <v>1180000</v>
      </c>
      <c r="G397" s="5">
        <f>578343+175103+105000</f>
        <v>858446</v>
      </c>
      <c r="H397" s="5">
        <f t="shared" si="77"/>
        <v>2173446</v>
      </c>
    </row>
    <row r="398" spans="1:8" s="9" customFormat="1" x14ac:dyDescent="0.25">
      <c r="A398" s="6" t="s">
        <v>7</v>
      </c>
      <c r="B398" s="10" t="s">
        <v>172</v>
      </c>
      <c r="C398" s="28" t="s">
        <v>24</v>
      </c>
      <c r="D398" s="29"/>
      <c r="E398" s="8">
        <f>SUM(E391:E397)</f>
        <v>551500</v>
      </c>
      <c r="F398" s="8">
        <f t="shared" ref="F398:H398" si="84">SUM(F391:F397)</f>
        <v>4050000</v>
      </c>
      <c r="G398" s="8">
        <f t="shared" si="84"/>
        <v>2369958</v>
      </c>
      <c r="H398" s="8">
        <f t="shared" si="84"/>
        <v>6971458</v>
      </c>
    </row>
    <row r="399" spans="1:8" ht="15" customHeight="1" x14ac:dyDescent="0.25">
      <c r="A399" s="3" t="s">
        <v>173</v>
      </c>
      <c r="B399" s="4" t="s">
        <v>174</v>
      </c>
      <c r="C399" s="4" t="s">
        <v>80</v>
      </c>
      <c r="D399" s="5" t="s">
        <v>16</v>
      </c>
      <c r="E399" s="5">
        <v>122500</v>
      </c>
      <c r="F399" s="5">
        <v>1100000</v>
      </c>
      <c r="G399" s="5"/>
      <c r="H399" s="5">
        <f t="shared" ref="H399:H435" si="85">SUM(E399:G399)</f>
        <v>1222500</v>
      </c>
    </row>
    <row r="400" spans="1:8" ht="15" customHeight="1" x14ac:dyDescent="0.25">
      <c r="A400" s="3"/>
      <c r="B400" s="4"/>
      <c r="C400" s="15"/>
      <c r="D400" s="16" t="s">
        <v>12</v>
      </c>
      <c r="E400" s="5">
        <v>54000</v>
      </c>
      <c r="F400" s="5">
        <f>54000+100000</f>
        <v>154000</v>
      </c>
      <c r="G400" s="5"/>
      <c r="H400" s="5">
        <f t="shared" si="85"/>
        <v>208000</v>
      </c>
    </row>
    <row r="401" spans="1:8" s="9" customFormat="1" x14ac:dyDescent="0.25">
      <c r="A401" s="6" t="s">
        <v>7</v>
      </c>
      <c r="B401" s="10" t="s">
        <v>174</v>
      </c>
      <c r="C401" s="28" t="s">
        <v>80</v>
      </c>
      <c r="D401" s="29"/>
      <c r="E401" s="8">
        <f>SUM(E399:E400)</f>
        <v>176500</v>
      </c>
      <c r="F401" s="8">
        <f t="shared" ref="F401:H401" si="86">SUM(F399:F400)</f>
        <v>1254000</v>
      </c>
      <c r="G401" s="8">
        <f t="shared" si="86"/>
        <v>0</v>
      </c>
      <c r="H401" s="8">
        <f t="shared" si="86"/>
        <v>1430500</v>
      </c>
    </row>
    <row r="402" spans="1:8" ht="15" customHeight="1" x14ac:dyDescent="0.25">
      <c r="A402" s="3" t="s">
        <v>175</v>
      </c>
      <c r="B402" s="4" t="s">
        <v>176</v>
      </c>
      <c r="C402" s="4" t="s">
        <v>96</v>
      </c>
      <c r="D402" s="5" t="s">
        <v>15</v>
      </c>
      <c r="E402" s="5">
        <v>22300</v>
      </c>
      <c r="F402" s="5">
        <v>150000</v>
      </c>
      <c r="G402" s="5">
        <f>105730*2</f>
        <v>211460</v>
      </c>
      <c r="H402" s="5">
        <f t="shared" si="85"/>
        <v>383760</v>
      </c>
    </row>
    <row r="403" spans="1:8" ht="15" customHeight="1" x14ac:dyDescent="0.25">
      <c r="A403" s="3"/>
      <c r="B403" s="4"/>
      <c r="C403" s="4"/>
      <c r="D403" s="5" t="s">
        <v>27</v>
      </c>
      <c r="E403" s="5">
        <v>24500</v>
      </c>
      <c r="F403" s="5">
        <v>49000</v>
      </c>
      <c r="G403" s="5">
        <f>35280*2</f>
        <v>70560</v>
      </c>
      <c r="H403" s="5">
        <f t="shared" si="85"/>
        <v>144060</v>
      </c>
    </row>
    <row r="404" spans="1:8" ht="15" customHeight="1" x14ac:dyDescent="0.25">
      <c r="A404" s="3"/>
      <c r="B404" s="4"/>
      <c r="C404" s="4"/>
      <c r="D404" s="5" t="s">
        <v>21</v>
      </c>
      <c r="E404" s="5">
        <v>24500</v>
      </c>
      <c r="F404" s="5"/>
      <c r="G404" s="5">
        <v>1203331</v>
      </c>
      <c r="H404" s="5">
        <f t="shared" si="85"/>
        <v>1227831</v>
      </c>
    </row>
    <row r="405" spans="1:8" ht="15" customHeight="1" x14ac:dyDescent="0.25">
      <c r="A405" s="3"/>
      <c r="B405" s="4"/>
      <c r="C405" s="4"/>
      <c r="D405" s="5" t="s">
        <v>15</v>
      </c>
      <c r="E405" s="5">
        <v>49000</v>
      </c>
      <c r="F405" s="5">
        <v>500000</v>
      </c>
      <c r="G405" s="5">
        <v>157624</v>
      </c>
      <c r="H405" s="5">
        <f t="shared" si="85"/>
        <v>706624</v>
      </c>
    </row>
    <row r="406" spans="1:8" ht="15" customHeight="1" x14ac:dyDescent="0.25">
      <c r="A406" s="3"/>
      <c r="B406" s="4"/>
      <c r="C406" s="4"/>
      <c r="D406" s="5" t="s">
        <v>15</v>
      </c>
      <c r="E406" s="5">
        <v>73500</v>
      </c>
      <c r="F406" s="5">
        <v>500000</v>
      </c>
      <c r="G406" s="5">
        <f>105730*2</f>
        <v>211460</v>
      </c>
      <c r="H406" s="5">
        <f t="shared" si="85"/>
        <v>784960</v>
      </c>
    </row>
    <row r="407" spans="1:8" s="9" customFormat="1" x14ac:dyDescent="0.25">
      <c r="A407" s="6" t="s">
        <v>7</v>
      </c>
      <c r="B407" s="10" t="s">
        <v>176</v>
      </c>
      <c r="C407" s="28" t="s">
        <v>96</v>
      </c>
      <c r="D407" s="29"/>
      <c r="E407" s="8">
        <f>SUM(E402:E406)</f>
        <v>193800</v>
      </c>
      <c r="F407" s="8">
        <f t="shared" ref="F407:H407" si="87">SUM(F402:F406)</f>
        <v>1199000</v>
      </c>
      <c r="G407" s="8">
        <f t="shared" si="87"/>
        <v>1854435</v>
      </c>
      <c r="H407" s="8">
        <f t="shared" si="87"/>
        <v>3247235</v>
      </c>
    </row>
    <row r="408" spans="1:8" ht="15" customHeight="1" x14ac:dyDescent="0.25">
      <c r="A408" s="3" t="s">
        <v>177</v>
      </c>
      <c r="B408" s="4" t="s">
        <v>178</v>
      </c>
      <c r="C408" s="4" t="s">
        <v>71</v>
      </c>
      <c r="D408" s="5" t="s">
        <v>11</v>
      </c>
      <c r="E408" s="5">
        <v>89200</v>
      </c>
      <c r="F408" s="5">
        <v>1800000</v>
      </c>
      <c r="G408" s="5">
        <v>173000</v>
      </c>
      <c r="H408" s="5">
        <f t="shared" si="85"/>
        <v>2062200</v>
      </c>
    </row>
    <row r="409" spans="1:8" ht="15" customHeight="1" x14ac:dyDescent="0.25">
      <c r="A409" s="3"/>
      <c r="B409" s="4"/>
      <c r="C409" s="4"/>
      <c r="D409" s="5" t="s">
        <v>12</v>
      </c>
      <c r="E409" s="5">
        <v>73590</v>
      </c>
      <c r="F409" s="5">
        <f>250000+49060</f>
        <v>299060</v>
      </c>
      <c r="G409" s="5"/>
      <c r="H409" s="5">
        <f t="shared" si="85"/>
        <v>372650</v>
      </c>
    </row>
    <row r="410" spans="1:8" ht="15" customHeight="1" x14ac:dyDescent="0.25">
      <c r="A410" s="3"/>
      <c r="B410" s="4"/>
      <c r="C410" s="4"/>
      <c r="D410" s="5" t="s">
        <v>27</v>
      </c>
      <c r="E410" s="5">
        <v>49060</v>
      </c>
      <c r="F410" s="5">
        <v>360000</v>
      </c>
      <c r="G410" s="5"/>
      <c r="H410" s="5">
        <f t="shared" si="85"/>
        <v>409060</v>
      </c>
    </row>
    <row r="411" spans="1:8" ht="15" customHeight="1" x14ac:dyDescent="0.25">
      <c r="A411" s="3"/>
      <c r="B411" s="4"/>
      <c r="C411" s="4"/>
      <c r="D411" s="5" t="s">
        <v>13</v>
      </c>
      <c r="E411" s="5">
        <v>122500</v>
      </c>
      <c r="F411" s="5">
        <v>1750000</v>
      </c>
      <c r="G411" s="5"/>
      <c r="H411" s="5">
        <f t="shared" si="85"/>
        <v>1872500</v>
      </c>
    </row>
    <row r="412" spans="1:8" ht="15" customHeight="1" x14ac:dyDescent="0.25">
      <c r="A412" s="3"/>
      <c r="B412" s="4"/>
      <c r="C412" s="4"/>
      <c r="D412" s="5" t="s">
        <v>27</v>
      </c>
      <c r="E412" s="5">
        <v>24500</v>
      </c>
      <c r="F412" s="5">
        <v>49000</v>
      </c>
      <c r="G412" s="5"/>
      <c r="H412" s="5">
        <f t="shared" si="85"/>
        <v>73500</v>
      </c>
    </row>
    <row r="413" spans="1:8" ht="15" customHeight="1" x14ac:dyDescent="0.25">
      <c r="A413" s="3"/>
      <c r="B413" s="4"/>
      <c r="C413" s="4"/>
      <c r="D413" s="5" t="s">
        <v>27</v>
      </c>
      <c r="E413" s="5">
        <v>24500</v>
      </c>
      <c r="F413" s="5">
        <v>49000</v>
      </c>
      <c r="G413" s="5"/>
      <c r="H413" s="5">
        <f>SUM(E413:G413)</f>
        <v>73500</v>
      </c>
    </row>
    <row r="414" spans="1:8" ht="15" customHeight="1" x14ac:dyDescent="0.25">
      <c r="A414" s="3"/>
      <c r="B414" s="4"/>
      <c r="C414" s="4"/>
      <c r="D414" s="5" t="s">
        <v>27</v>
      </c>
      <c r="E414" s="5">
        <v>49000</v>
      </c>
      <c r="F414" s="5">
        <f>250000+49000</f>
        <v>299000</v>
      </c>
      <c r="G414" s="5"/>
      <c r="H414" s="5">
        <f>SUM(E414:G414)</f>
        <v>348000</v>
      </c>
    </row>
    <row r="415" spans="1:8" ht="15" customHeight="1" x14ac:dyDescent="0.25">
      <c r="A415" s="3"/>
      <c r="B415" s="4"/>
      <c r="C415" s="4"/>
      <c r="D415" s="5" t="s">
        <v>15</v>
      </c>
      <c r="E415" s="5">
        <v>98000</v>
      </c>
      <c r="F415" s="5">
        <v>3000000</v>
      </c>
      <c r="G415" s="5"/>
      <c r="H415" s="5">
        <f t="shared" si="85"/>
        <v>3098000</v>
      </c>
    </row>
    <row r="416" spans="1:8" ht="15" customHeight="1" x14ac:dyDescent="0.25">
      <c r="A416" s="3"/>
      <c r="B416" s="4"/>
      <c r="C416" s="4"/>
      <c r="D416" s="5" t="s">
        <v>21</v>
      </c>
      <c r="E416" s="5">
        <v>22300</v>
      </c>
      <c r="F416" s="5">
        <v>44600</v>
      </c>
      <c r="G416" s="5">
        <f>170907.2*2</f>
        <v>341814.4</v>
      </c>
      <c r="H416" s="5">
        <f t="shared" si="85"/>
        <v>408714.4</v>
      </c>
    </row>
    <row r="417" spans="1:8" ht="15" customHeight="1" x14ac:dyDescent="0.25">
      <c r="A417" s="3"/>
      <c r="B417" s="4"/>
      <c r="C417" s="4"/>
      <c r="D417" s="5" t="s">
        <v>14</v>
      </c>
      <c r="E417" s="5"/>
      <c r="F417" s="5"/>
      <c r="G417" s="5">
        <v>1502451</v>
      </c>
      <c r="H417" s="5">
        <f t="shared" si="85"/>
        <v>1502451</v>
      </c>
    </row>
    <row r="418" spans="1:8" ht="15" customHeight="1" x14ac:dyDescent="0.25">
      <c r="A418" s="3"/>
      <c r="B418" s="4"/>
      <c r="C418" s="4"/>
      <c r="D418" s="5" t="s">
        <v>141</v>
      </c>
      <c r="E418" s="5">
        <v>73500</v>
      </c>
      <c r="F418" s="5">
        <v>649000</v>
      </c>
      <c r="G418" s="5"/>
      <c r="H418" s="5">
        <f t="shared" si="85"/>
        <v>722500</v>
      </c>
    </row>
    <row r="419" spans="1:8" s="9" customFormat="1" x14ac:dyDescent="0.25">
      <c r="A419" s="6" t="s">
        <v>7</v>
      </c>
      <c r="B419" s="10" t="s">
        <v>178</v>
      </c>
      <c r="C419" s="28" t="s">
        <v>71</v>
      </c>
      <c r="D419" s="29"/>
      <c r="E419" s="8">
        <f>SUM(E408:E418)</f>
        <v>626150</v>
      </c>
      <c r="F419" s="8">
        <f t="shared" ref="F419:H419" si="88">SUM(F408:F418)</f>
        <v>8299660</v>
      </c>
      <c r="G419" s="8">
        <f t="shared" si="88"/>
        <v>2017265.4</v>
      </c>
      <c r="H419" s="8">
        <f t="shared" si="88"/>
        <v>10943075.4</v>
      </c>
    </row>
    <row r="420" spans="1:8" s="9" customFormat="1" x14ac:dyDescent="0.25">
      <c r="A420" s="17"/>
      <c r="B420" s="18"/>
      <c r="C420" s="20" t="s">
        <v>284</v>
      </c>
      <c r="D420" s="20" t="s">
        <v>16</v>
      </c>
      <c r="E420" s="21">
        <v>405000</v>
      </c>
      <c r="F420" s="21">
        <v>5250000</v>
      </c>
      <c r="G420" s="21">
        <f>227224+75816</f>
        <v>303040</v>
      </c>
      <c r="H420" s="5">
        <f t="shared" si="85"/>
        <v>5958040</v>
      </c>
    </row>
    <row r="421" spans="1:8" s="9" customFormat="1" x14ac:dyDescent="0.25">
      <c r="A421" s="6" t="s">
        <v>7</v>
      </c>
      <c r="B421" s="10" t="s">
        <v>282</v>
      </c>
      <c r="C421" s="28" t="s">
        <v>283</v>
      </c>
      <c r="D421" s="29"/>
      <c r="E421" s="8">
        <f>SUM(E420)</f>
        <v>405000</v>
      </c>
      <c r="F421" s="8">
        <f t="shared" ref="F421:H421" si="89">SUM(F420)</f>
        <v>5250000</v>
      </c>
      <c r="G421" s="8">
        <f t="shared" si="89"/>
        <v>303040</v>
      </c>
      <c r="H421" s="8">
        <f t="shared" si="89"/>
        <v>5958040</v>
      </c>
    </row>
    <row r="422" spans="1:8" ht="15" customHeight="1" x14ac:dyDescent="0.25">
      <c r="A422" s="3" t="s">
        <v>179</v>
      </c>
      <c r="B422" s="4" t="s">
        <v>180</v>
      </c>
      <c r="C422" s="4" t="s">
        <v>71</v>
      </c>
      <c r="D422" s="5" t="s">
        <v>141</v>
      </c>
      <c r="E422" s="5">
        <v>171500</v>
      </c>
      <c r="F422" s="5">
        <f>49000+147000+900000</f>
        <v>1096000</v>
      </c>
      <c r="G422" s="5"/>
      <c r="H422" s="5">
        <f t="shared" ref="H422:H432" si="90">SUM(E422:G422)</f>
        <v>1267500</v>
      </c>
    </row>
    <row r="423" spans="1:8" ht="15" customHeight="1" x14ac:dyDescent="0.25">
      <c r="A423" s="3"/>
      <c r="B423" s="4"/>
      <c r="C423" s="4"/>
      <c r="D423" s="5" t="s">
        <v>15</v>
      </c>
      <c r="E423" s="5">
        <v>98000</v>
      </c>
      <c r="F423" s="5">
        <f>900000+680000</f>
        <v>1580000</v>
      </c>
      <c r="G423" s="5"/>
      <c r="H423" s="5">
        <f t="shared" si="90"/>
        <v>1678000</v>
      </c>
    </row>
    <row r="424" spans="1:8" ht="15" customHeight="1" x14ac:dyDescent="0.25">
      <c r="A424" s="3"/>
      <c r="B424" s="4"/>
      <c r="C424" s="4"/>
      <c r="D424" s="5" t="s">
        <v>54</v>
      </c>
      <c r="E424" s="5">
        <v>49000</v>
      </c>
      <c r="F424" s="5">
        <f>270000+49000</f>
        <v>319000</v>
      </c>
      <c r="G424" s="5"/>
      <c r="H424" s="5">
        <f t="shared" si="90"/>
        <v>368000</v>
      </c>
    </row>
    <row r="425" spans="1:8" ht="15" customHeight="1" x14ac:dyDescent="0.25">
      <c r="A425" s="3"/>
      <c r="B425" s="4"/>
      <c r="C425" s="4"/>
      <c r="D425" s="5" t="s">
        <v>14</v>
      </c>
      <c r="E425" s="5">
        <v>98000</v>
      </c>
      <c r="F425" s="5">
        <v>300000</v>
      </c>
      <c r="G425" s="5">
        <f>476180+477265</f>
        <v>953445</v>
      </c>
      <c r="H425" s="5">
        <f t="shared" si="90"/>
        <v>1351445</v>
      </c>
    </row>
    <row r="426" spans="1:8" ht="15" customHeight="1" x14ac:dyDescent="0.25">
      <c r="A426" s="3"/>
      <c r="B426" s="4"/>
      <c r="C426" s="4"/>
      <c r="D426" s="5" t="s">
        <v>16</v>
      </c>
      <c r="E426" s="5">
        <v>122500</v>
      </c>
      <c r="F426" s="5">
        <f>320000+400000+400000+716000</f>
        <v>1836000</v>
      </c>
      <c r="G426" s="5">
        <v>189242</v>
      </c>
      <c r="H426" s="5">
        <f t="shared" si="90"/>
        <v>2147742</v>
      </c>
    </row>
    <row r="427" spans="1:8" ht="15" customHeight="1" x14ac:dyDescent="0.25">
      <c r="A427" s="3"/>
      <c r="B427" s="4"/>
      <c r="C427" s="4"/>
      <c r="D427" s="5" t="s">
        <v>39</v>
      </c>
      <c r="E427" s="5">
        <v>73500</v>
      </c>
      <c r="F427" s="5">
        <v>328000</v>
      </c>
      <c r="G427" s="5">
        <v>399493</v>
      </c>
      <c r="H427" s="5">
        <f t="shared" si="90"/>
        <v>800993</v>
      </c>
    </row>
    <row r="428" spans="1:8" ht="15" customHeight="1" x14ac:dyDescent="0.25">
      <c r="A428" s="3"/>
      <c r="B428" s="4"/>
      <c r="C428" s="4"/>
      <c r="D428" s="5" t="s">
        <v>11</v>
      </c>
      <c r="E428" s="5">
        <v>49000</v>
      </c>
      <c r="F428" s="5">
        <f>250000+700000</f>
        <v>950000</v>
      </c>
      <c r="G428" s="5">
        <f>237877+188742</f>
        <v>426619</v>
      </c>
      <c r="H428" s="5">
        <f t="shared" si="90"/>
        <v>1425619</v>
      </c>
    </row>
    <row r="429" spans="1:8" ht="15" customHeight="1" x14ac:dyDescent="0.25">
      <c r="A429" s="3"/>
      <c r="B429" s="4"/>
      <c r="C429" s="4"/>
      <c r="D429" s="5" t="s">
        <v>21</v>
      </c>
      <c r="E429" s="5">
        <v>54000</v>
      </c>
      <c r="F429" s="5">
        <v>1300000</v>
      </c>
      <c r="G429" s="5">
        <f>481596+479420</f>
        <v>961016</v>
      </c>
      <c r="H429" s="5">
        <f t="shared" si="90"/>
        <v>2315016</v>
      </c>
    </row>
    <row r="430" spans="1:8" ht="15" customHeight="1" x14ac:dyDescent="0.25">
      <c r="A430" s="3"/>
      <c r="B430" s="4"/>
      <c r="C430" s="15"/>
      <c r="D430" s="5" t="s">
        <v>15</v>
      </c>
      <c r="E430" s="5">
        <v>27000</v>
      </c>
      <c r="F430" s="5"/>
      <c r="G430" s="5"/>
      <c r="H430" s="5">
        <f t="shared" si="90"/>
        <v>27000</v>
      </c>
    </row>
    <row r="431" spans="1:8" ht="15" customHeight="1" x14ac:dyDescent="0.25">
      <c r="A431" s="3"/>
      <c r="B431" s="4"/>
      <c r="C431" s="15"/>
      <c r="D431" s="5" t="s">
        <v>15</v>
      </c>
      <c r="E431" s="5">
        <v>73500</v>
      </c>
      <c r="F431" s="5">
        <v>1350000</v>
      </c>
      <c r="G431" s="5">
        <f>105000+204000</f>
        <v>309000</v>
      </c>
      <c r="H431" s="5">
        <f t="shared" si="90"/>
        <v>1732500</v>
      </c>
    </row>
    <row r="432" spans="1:8" ht="15" customHeight="1" x14ac:dyDescent="0.25">
      <c r="A432" s="3"/>
      <c r="B432" s="4"/>
      <c r="C432" s="15"/>
      <c r="D432" s="5" t="s">
        <v>15</v>
      </c>
      <c r="E432" s="5">
        <v>27000</v>
      </c>
      <c r="F432" s="5">
        <v>250000</v>
      </c>
      <c r="G432" s="5"/>
      <c r="H432" s="5">
        <f t="shared" si="90"/>
        <v>277000</v>
      </c>
    </row>
    <row r="433" spans="1:8" s="9" customFormat="1" x14ac:dyDescent="0.25">
      <c r="A433" s="6" t="s">
        <v>7</v>
      </c>
      <c r="B433" s="10" t="s">
        <v>180</v>
      </c>
      <c r="C433" s="28" t="s">
        <v>71</v>
      </c>
      <c r="D433" s="29"/>
      <c r="E433" s="8">
        <f>SUM(E422:E432)</f>
        <v>843000</v>
      </c>
      <c r="F433" s="8">
        <f t="shared" ref="F433:H433" si="91">SUM(F422:F432)</f>
        <v>9309000</v>
      </c>
      <c r="G433" s="8">
        <f t="shared" si="91"/>
        <v>3238815</v>
      </c>
      <c r="H433" s="8">
        <f t="shared" si="91"/>
        <v>13390815</v>
      </c>
    </row>
    <row r="434" spans="1:8" ht="15" customHeight="1" x14ac:dyDescent="0.25">
      <c r="A434" s="3" t="s">
        <v>181</v>
      </c>
      <c r="B434" s="4" t="s">
        <v>182</v>
      </c>
      <c r="C434" s="4" t="s">
        <v>24</v>
      </c>
      <c r="D434" s="5" t="s">
        <v>14</v>
      </c>
      <c r="E434" s="5">
        <f>98000+338960</f>
        <v>436960</v>
      </c>
      <c r="F434" s="5">
        <f>178400+2850000</f>
        <v>3028400</v>
      </c>
      <c r="G434" s="5">
        <f>40318+44296</f>
        <v>84614</v>
      </c>
      <c r="H434" s="5">
        <f t="shared" si="85"/>
        <v>3549974</v>
      </c>
    </row>
    <row r="435" spans="1:8" ht="15" customHeight="1" x14ac:dyDescent="0.25">
      <c r="A435" s="3"/>
      <c r="B435" s="4"/>
      <c r="C435" s="4"/>
      <c r="D435" s="5" t="s">
        <v>11</v>
      </c>
      <c r="E435" s="5">
        <v>588000</v>
      </c>
      <c r="F435" s="5">
        <v>4500000</v>
      </c>
      <c r="G435" s="5">
        <f>129620+82712</f>
        <v>212332</v>
      </c>
      <c r="H435" s="5">
        <f t="shared" si="85"/>
        <v>5300332</v>
      </c>
    </row>
    <row r="436" spans="1:8" s="9" customFormat="1" x14ac:dyDescent="0.25">
      <c r="A436" s="6" t="s">
        <v>7</v>
      </c>
      <c r="B436" s="10" t="s">
        <v>182</v>
      </c>
      <c r="C436" s="28" t="s">
        <v>24</v>
      </c>
      <c r="D436" s="29"/>
      <c r="E436" s="8">
        <f>SUM(E434:E435)</f>
        <v>1024960</v>
      </c>
      <c r="F436" s="8">
        <f t="shared" ref="F436:H436" si="92">SUM(F434:F435)</f>
        <v>7528400</v>
      </c>
      <c r="G436" s="8">
        <f t="shared" si="92"/>
        <v>296946</v>
      </c>
      <c r="H436" s="8">
        <f t="shared" si="92"/>
        <v>8850306</v>
      </c>
    </row>
    <row r="437" spans="1:8" ht="15" customHeight="1" x14ac:dyDescent="0.25">
      <c r="A437" s="3" t="s">
        <v>183</v>
      </c>
      <c r="B437" s="4" t="s">
        <v>184</v>
      </c>
      <c r="C437" s="4" t="s">
        <v>24</v>
      </c>
      <c r="D437" s="5" t="s">
        <v>12</v>
      </c>
      <c r="E437" s="5">
        <v>411600</v>
      </c>
      <c r="F437" s="5">
        <v>2860000</v>
      </c>
      <c r="G437" s="5">
        <f>20580*2</f>
        <v>41160</v>
      </c>
      <c r="H437" s="5">
        <f t="shared" ref="H437:H449" si="93">SUM(E437:G437)</f>
        <v>3312760</v>
      </c>
    </row>
    <row r="438" spans="1:8" ht="15" customHeight="1" x14ac:dyDescent="0.25">
      <c r="A438" s="3"/>
      <c r="B438" s="4"/>
      <c r="C438" s="4"/>
      <c r="D438" s="5" t="s">
        <v>12</v>
      </c>
      <c r="E438" s="5">
        <v>98000</v>
      </c>
      <c r="F438" s="5">
        <v>560000</v>
      </c>
      <c r="G438" s="5">
        <f>20580*2</f>
        <v>41160</v>
      </c>
      <c r="H438" s="5">
        <f t="shared" si="93"/>
        <v>699160</v>
      </c>
    </row>
    <row r="439" spans="1:8" ht="15" customHeight="1" x14ac:dyDescent="0.25">
      <c r="A439" s="3"/>
      <c r="B439" s="4"/>
      <c r="C439" s="4"/>
      <c r="D439" s="5" t="s">
        <v>16</v>
      </c>
      <c r="E439" s="5">
        <v>235200</v>
      </c>
      <c r="F439" s="5">
        <f>170000+1710000</f>
        <v>1880000</v>
      </c>
      <c r="G439" s="5">
        <f>20188*2</f>
        <v>40376</v>
      </c>
      <c r="H439" s="5">
        <f t="shared" si="93"/>
        <v>2155576</v>
      </c>
    </row>
    <row r="440" spans="1:8" s="9" customFormat="1" x14ac:dyDescent="0.25">
      <c r="A440" s="6" t="s">
        <v>7</v>
      </c>
      <c r="B440" s="10" t="s">
        <v>184</v>
      </c>
      <c r="C440" s="28" t="s">
        <v>24</v>
      </c>
      <c r="D440" s="29"/>
      <c r="E440" s="8">
        <f>SUM(E437:E439)</f>
        <v>744800</v>
      </c>
      <c r="F440" s="8">
        <f t="shared" ref="F440:H440" si="94">SUM(F437:F439)</f>
        <v>5300000</v>
      </c>
      <c r="G440" s="8">
        <f t="shared" si="94"/>
        <v>122696</v>
      </c>
      <c r="H440" s="8">
        <f t="shared" si="94"/>
        <v>6167496</v>
      </c>
    </row>
    <row r="441" spans="1:8" ht="15" customHeight="1" x14ac:dyDescent="0.25">
      <c r="A441" s="3" t="s">
        <v>185</v>
      </c>
      <c r="B441" s="4" t="s">
        <v>186</v>
      </c>
      <c r="C441" s="4" t="s">
        <v>80</v>
      </c>
      <c r="D441" s="5" t="s">
        <v>11</v>
      </c>
      <c r="E441" s="5">
        <v>122500</v>
      </c>
      <c r="F441" s="5">
        <v>820000</v>
      </c>
      <c r="G441" s="5">
        <f>173000*2</f>
        <v>346000</v>
      </c>
      <c r="H441" s="5">
        <f t="shared" si="93"/>
        <v>1288500</v>
      </c>
    </row>
    <row r="442" spans="1:8" ht="15" customHeight="1" x14ac:dyDescent="0.25">
      <c r="A442" s="3"/>
      <c r="B442" s="4"/>
      <c r="C442" s="15"/>
      <c r="D442" s="5" t="s">
        <v>21</v>
      </c>
      <c r="E442" s="5">
        <v>432000</v>
      </c>
      <c r="F442" s="5">
        <f>1440000+880000</f>
        <v>2320000</v>
      </c>
      <c r="G442" s="5">
        <f>593307+412430</f>
        <v>1005737</v>
      </c>
      <c r="H442" s="5">
        <f t="shared" si="93"/>
        <v>3757737</v>
      </c>
    </row>
    <row r="443" spans="1:8" s="9" customFormat="1" x14ac:dyDescent="0.25">
      <c r="A443" s="6" t="s">
        <v>7</v>
      </c>
      <c r="B443" s="10" t="s">
        <v>186</v>
      </c>
      <c r="C443" s="28" t="s">
        <v>80</v>
      </c>
      <c r="D443" s="29"/>
      <c r="E443" s="8">
        <f>SUM(E441:E442)</f>
        <v>554500</v>
      </c>
      <c r="F443" s="8">
        <f t="shared" ref="F443:H443" si="95">SUM(F441:F442)</f>
        <v>3140000</v>
      </c>
      <c r="G443" s="8">
        <f t="shared" si="95"/>
        <v>1351737</v>
      </c>
      <c r="H443" s="8">
        <f t="shared" si="95"/>
        <v>5046237</v>
      </c>
    </row>
    <row r="444" spans="1:8" ht="15" customHeight="1" x14ac:dyDescent="0.25">
      <c r="A444" s="3" t="s">
        <v>187</v>
      </c>
      <c r="B444" s="4" t="s">
        <v>188</v>
      </c>
      <c r="C444" s="4" t="s">
        <v>71</v>
      </c>
      <c r="D444" s="5" t="s">
        <v>11</v>
      </c>
      <c r="E444" s="5">
        <v>44600</v>
      </c>
      <c r="F444" s="5">
        <v>175000</v>
      </c>
      <c r="G444" s="5">
        <v>441550</v>
      </c>
      <c r="H444" s="5">
        <f t="shared" si="93"/>
        <v>661150</v>
      </c>
    </row>
    <row r="445" spans="1:8" ht="15" customHeight="1" x14ac:dyDescent="0.25">
      <c r="A445" s="3"/>
      <c r="B445" s="4"/>
      <c r="C445" s="4"/>
      <c r="D445" s="5" t="s">
        <v>12</v>
      </c>
      <c r="E445" s="5">
        <v>89200</v>
      </c>
      <c r="F445" s="5">
        <v>1050000</v>
      </c>
      <c r="G445" s="5"/>
      <c r="H445" s="5">
        <f t="shared" si="93"/>
        <v>1139200</v>
      </c>
    </row>
    <row r="446" spans="1:8" ht="15" customHeight="1" x14ac:dyDescent="0.25">
      <c r="A446" s="3"/>
      <c r="B446" s="4"/>
      <c r="C446" s="4"/>
      <c r="D446" s="5" t="s">
        <v>54</v>
      </c>
      <c r="E446" s="5">
        <v>49000</v>
      </c>
      <c r="F446" s="5">
        <v>98000</v>
      </c>
      <c r="G446" s="5">
        <v>28616</v>
      </c>
      <c r="H446" s="5">
        <f t="shared" si="93"/>
        <v>175616</v>
      </c>
    </row>
    <row r="447" spans="1:8" s="9" customFormat="1" x14ac:dyDescent="0.25">
      <c r="A447" s="6" t="s">
        <v>7</v>
      </c>
      <c r="B447" s="10" t="s">
        <v>188</v>
      </c>
      <c r="C447" s="28" t="s">
        <v>71</v>
      </c>
      <c r="D447" s="29"/>
      <c r="E447" s="8">
        <f>SUM(E444:E446)</f>
        <v>182800</v>
      </c>
      <c r="F447" s="8">
        <f t="shared" ref="F447:H447" si="96">SUM(F444:F446)</f>
        <v>1323000</v>
      </c>
      <c r="G447" s="8">
        <f t="shared" si="96"/>
        <v>470166</v>
      </c>
      <c r="H447" s="8">
        <f t="shared" si="96"/>
        <v>1975966</v>
      </c>
    </row>
    <row r="448" spans="1:8" ht="15" customHeight="1" x14ac:dyDescent="0.25">
      <c r="A448" s="3" t="s">
        <v>189</v>
      </c>
      <c r="B448" s="4" t="s">
        <v>190</v>
      </c>
      <c r="C448" s="4" t="s">
        <v>24</v>
      </c>
      <c r="D448" s="5" t="s">
        <v>27</v>
      </c>
      <c r="E448" s="5">
        <v>607600</v>
      </c>
      <c r="F448" s="5"/>
      <c r="G448" s="5">
        <v>24976</v>
      </c>
      <c r="H448" s="5">
        <f t="shared" si="93"/>
        <v>632576</v>
      </c>
    </row>
    <row r="449" spans="1:8" ht="15" customHeight="1" x14ac:dyDescent="0.25">
      <c r="A449" s="3"/>
      <c r="B449" s="4"/>
      <c r="C449" s="4"/>
      <c r="D449" s="5" t="s">
        <v>15</v>
      </c>
      <c r="E449" s="5">
        <v>196000</v>
      </c>
      <c r="F449" s="5">
        <v>1050000</v>
      </c>
      <c r="G449" s="5">
        <v>41552</v>
      </c>
      <c r="H449" s="5">
        <f t="shared" si="93"/>
        <v>1287552</v>
      </c>
    </row>
    <row r="450" spans="1:8" s="9" customFormat="1" x14ac:dyDescent="0.25">
      <c r="A450" s="6" t="s">
        <v>7</v>
      </c>
      <c r="B450" s="10" t="s">
        <v>190</v>
      </c>
      <c r="C450" s="28" t="s">
        <v>24</v>
      </c>
      <c r="D450" s="29"/>
      <c r="E450" s="8">
        <f>SUM(E448:E449)</f>
        <v>803600</v>
      </c>
      <c r="F450" s="8">
        <f t="shared" ref="F450:H450" si="97">SUM(F448:F449)</f>
        <v>1050000</v>
      </c>
      <c r="G450" s="8">
        <f t="shared" si="97"/>
        <v>66528</v>
      </c>
      <c r="H450" s="8">
        <f t="shared" si="97"/>
        <v>1920128</v>
      </c>
    </row>
    <row r="451" spans="1:8" ht="15" customHeight="1" x14ac:dyDescent="0.25">
      <c r="A451" s="3" t="s">
        <v>191</v>
      </c>
      <c r="B451" s="4" t="s">
        <v>192</v>
      </c>
      <c r="C451" s="4" t="s">
        <v>45</v>
      </c>
      <c r="D451" s="5" t="s">
        <v>27</v>
      </c>
      <c r="E451" s="5">
        <v>49000</v>
      </c>
      <c r="F451" s="5">
        <v>420000</v>
      </c>
      <c r="G451" s="5">
        <f>35280*2</f>
        <v>70560</v>
      </c>
      <c r="H451" s="5">
        <f>SUM(E451:G451)</f>
        <v>539560</v>
      </c>
    </row>
    <row r="452" spans="1:8" s="9" customFormat="1" x14ac:dyDescent="0.25">
      <c r="A452" s="6" t="s">
        <v>7</v>
      </c>
      <c r="B452" s="10" t="s">
        <v>192</v>
      </c>
      <c r="C452" s="28" t="s">
        <v>45</v>
      </c>
      <c r="D452" s="29"/>
      <c r="E452" s="8">
        <f>SUM(E451)</f>
        <v>49000</v>
      </c>
      <c r="F452" s="8">
        <f t="shared" ref="F452:H452" si="98">SUM(F451)</f>
        <v>420000</v>
      </c>
      <c r="G452" s="8">
        <f t="shared" si="98"/>
        <v>70560</v>
      </c>
      <c r="H452" s="8">
        <f t="shared" si="98"/>
        <v>539560</v>
      </c>
    </row>
    <row r="453" spans="1:8" ht="15" customHeight="1" x14ac:dyDescent="0.25">
      <c r="A453" s="3" t="s">
        <v>193</v>
      </c>
      <c r="B453" s="4" t="s">
        <v>194</v>
      </c>
      <c r="C453" s="4" t="s">
        <v>68</v>
      </c>
      <c r="D453" s="5" t="s">
        <v>15</v>
      </c>
      <c r="E453" s="5">
        <v>24500</v>
      </c>
      <c r="F453" s="5">
        <v>250000</v>
      </c>
      <c r="G453" s="5">
        <v>247000</v>
      </c>
      <c r="H453" s="5">
        <f t="shared" ref="H453:H473" si="99">SUM(E453:G453)</f>
        <v>521500</v>
      </c>
    </row>
    <row r="454" spans="1:8" ht="15" customHeight="1" x14ac:dyDescent="0.25">
      <c r="A454" s="3"/>
      <c r="B454" s="4"/>
      <c r="C454" s="4"/>
      <c r="D454" s="5" t="s">
        <v>30</v>
      </c>
      <c r="E454" s="5">
        <v>122500</v>
      </c>
      <c r="F454" s="5">
        <v>905000</v>
      </c>
      <c r="G454" s="5">
        <f>85064+146000</f>
        <v>231064</v>
      </c>
      <c r="H454" s="5">
        <f t="shared" si="99"/>
        <v>1258564</v>
      </c>
    </row>
    <row r="455" spans="1:8" ht="15" customHeight="1" x14ac:dyDescent="0.25">
      <c r="A455" s="3"/>
      <c r="B455" s="4"/>
      <c r="C455" s="4"/>
      <c r="D455" s="5" t="s">
        <v>34</v>
      </c>
      <c r="E455" s="5">
        <v>73500</v>
      </c>
      <c r="F455" s="5">
        <v>471000</v>
      </c>
      <c r="G455" s="5">
        <f>195350+128380</f>
        <v>323730</v>
      </c>
      <c r="H455" s="5">
        <f>SUM(E455:G455)</f>
        <v>868230</v>
      </c>
    </row>
    <row r="456" spans="1:8" ht="15" customHeight="1" x14ac:dyDescent="0.25">
      <c r="A456" s="3"/>
      <c r="B456" s="4"/>
      <c r="C456" s="4"/>
      <c r="D456" s="5" t="s">
        <v>15</v>
      </c>
      <c r="E456" s="5">
        <v>73500</v>
      </c>
      <c r="F456" s="5">
        <v>750000</v>
      </c>
      <c r="G456" s="5">
        <f>52332+142000</f>
        <v>194332</v>
      </c>
      <c r="H456" s="5">
        <f t="shared" si="99"/>
        <v>1017832</v>
      </c>
    </row>
    <row r="457" spans="1:8" ht="15" customHeight="1" x14ac:dyDescent="0.25">
      <c r="A457" s="3"/>
      <c r="B457" s="4"/>
      <c r="C457" s="4"/>
      <c r="D457" s="5" t="s">
        <v>30</v>
      </c>
      <c r="E457" s="5">
        <v>162000</v>
      </c>
      <c r="F457" s="5">
        <v>1201000</v>
      </c>
      <c r="G457" s="5">
        <f>98280+98280</f>
        <v>196560</v>
      </c>
      <c r="H457" s="5">
        <f t="shared" si="99"/>
        <v>1559560</v>
      </c>
    </row>
    <row r="458" spans="1:8" s="9" customFormat="1" x14ac:dyDescent="0.25">
      <c r="A458" s="6" t="s">
        <v>7</v>
      </c>
      <c r="B458" s="10" t="s">
        <v>194</v>
      </c>
      <c r="C458" s="28" t="s">
        <v>68</v>
      </c>
      <c r="D458" s="29"/>
      <c r="E458" s="8">
        <f>SUM(E453:E457)</f>
        <v>456000</v>
      </c>
      <c r="F458" s="8">
        <f t="shared" ref="F458:H458" si="100">SUM(F453:F457)</f>
        <v>3577000</v>
      </c>
      <c r="G458" s="8">
        <f t="shared" si="100"/>
        <v>1192686</v>
      </c>
      <c r="H458" s="8">
        <f t="shared" si="100"/>
        <v>5225686</v>
      </c>
    </row>
    <row r="459" spans="1:8" ht="15" customHeight="1" x14ac:dyDescent="0.25">
      <c r="A459" s="3" t="s">
        <v>195</v>
      </c>
      <c r="B459" s="4" t="s">
        <v>196</v>
      </c>
      <c r="C459" s="4" t="s">
        <v>125</v>
      </c>
      <c r="D459" s="5" t="s">
        <v>197</v>
      </c>
      <c r="E459" s="5">
        <v>24500</v>
      </c>
      <c r="F459" s="5">
        <v>150000</v>
      </c>
      <c r="G459" s="5">
        <f>22344*2</f>
        <v>44688</v>
      </c>
      <c r="H459" s="5">
        <f t="shared" si="99"/>
        <v>219188</v>
      </c>
    </row>
    <row r="460" spans="1:8" ht="15" customHeight="1" x14ac:dyDescent="0.25">
      <c r="A460" s="3"/>
      <c r="B460" s="4"/>
      <c r="C460" s="4"/>
      <c r="D460" s="5" t="s">
        <v>15</v>
      </c>
      <c r="E460" s="5">
        <v>49000</v>
      </c>
      <c r="F460" s="5">
        <v>500000</v>
      </c>
      <c r="G460" s="5">
        <v>157624</v>
      </c>
      <c r="H460" s="5">
        <f t="shared" si="99"/>
        <v>706624</v>
      </c>
    </row>
    <row r="461" spans="1:8" s="9" customFormat="1" x14ac:dyDescent="0.25">
      <c r="A461" s="6" t="s">
        <v>7</v>
      </c>
      <c r="B461" s="10" t="s">
        <v>196</v>
      </c>
      <c r="C461" s="28" t="s">
        <v>125</v>
      </c>
      <c r="D461" s="29"/>
      <c r="E461" s="8">
        <f>SUM(E459:E460)</f>
        <v>73500</v>
      </c>
      <c r="F461" s="8">
        <f t="shared" ref="F461:H461" si="101">SUM(F459:F460)</f>
        <v>650000</v>
      </c>
      <c r="G461" s="8">
        <f t="shared" si="101"/>
        <v>202312</v>
      </c>
      <c r="H461" s="8">
        <f t="shared" si="101"/>
        <v>925812</v>
      </c>
    </row>
    <row r="462" spans="1:8" ht="15" customHeight="1" x14ac:dyDescent="0.25">
      <c r="A462" s="3" t="s">
        <v>198</v>
      </c>
      <c r="B462" s="4" t="s">
        <v>199</v>
      </c>
      <c r="C462" s="4" t="s">
        <v>24</v>
      </c>
      <c r="D462" s="5" t="s">
        <v>34</v>
      </c>
      <c r="E462" s="5">
        <v>245300</v>
      </c>
      <c r="F462" s="5">
        <f>936600+770000</f>
        <v>1706600</v>
      </c>
      <c r="G462" s="5">
        <f>24262.4*2</f>
        <v>48524.800000000003</v>
      </c>
      <c r="H462" s="5">
        <f t="shared" si="99"/>
        <v>2000424.8</v>
      </c>
    </row>
    <row r="463" spans="1:8" ht="15" customHeight="1" x14ac:dyDescent="0.25">
      <c r="A463" s="3"/>
      <c r="B463" s="4"/>
      <c r="C463" s="4"/>
      <c r="D463" s="5" t="s">
        <v>34</v>
      </c>
      <c r="E463" s="5">
        <v>137200</v>
      </c>
      <c r="F463" s="5">
        <f>500000+98000</f>
        <v>598000</v>
      </c>
      <c r="G463" s="5">
        <f>27244*2</f>
        <v>54488</v>
      </c>
      <c r="H463" s="5">
        <f t="shared" si="99"/>
        <v>789688</v>
      </c>
    </row>
    <row r="464" spans="1:8" ht="15" customHeight="1" x14ac:dyDescent="0.25">
      <c r="A464" s="3"/>
      <c r="B464" s="4"/>
      <c r="C464" s="4"/>
      <c r="D464" s="5" t="s">
        <v>34</v>
      </c>
      <c r="E464" s="5">
        <v>230136</v>
      </c>
      <c r="F464" s="5">
        <f>550000+575340</f>
        <v>1125340</v>
      </c>
      <c r="G464" s="5">
        <f>24262+26689</f>
        <v>50951</v>
      </c>
      <c r="H464" s="5">
        <f t="shared" si="99"/>
        <v>1406427</v>
      </c>
    </row>
    <row r="465" spans="1:8" ht="15" customHeight="1" x14ac:dyDescent="0.25">
      <c r="A465" s="3"/>
      <c r="B465" s="4"/>
      <c r="C465" s="4"/>
      <c r="D465" s="5" t="s">
        <v>30</v>
      </c>
      <c r="E465" s="5">
        <v>196000</v>
      </c>
      <c r="F465" s="5">
        <f>98000+750000+250000+1000000</f>
        <v>2098000</v>
      </c>
      <c r="G465" s="5">
        <f>56448*2</f>
        <v>112896</v>
      </c>
      <c r="H465" s="5">
        <f t="shared" si="99"/>
        <v>2406896</v>
      </c>
    </row>
    <row r="466" spans="1:8" ht="15" customHeight="1" x14ac:dyDescent="0.25">
      <c r="A466" s="3"/>
      <c r="B466" s="4"/>
      <c r="C466" s="4"/>
      <c r="D466" s="5" t="s">
        <v>34</v>
      </c>
      <c r="E466" s="5">
        <v>666400</v>
      </c>
      <c r="F466" s="5">
        <v>5100000</v>
      </c>
      <c r="G466" s="5">
        <f>21560*2</f>
        <v>43120</v>
      </c>
      <c r="H466" s="5">
        <f t="shared" si="99"/>
        <v>5809520</v>
      </c>
    </row>
    <row r="467" spans="1:8" ht="15" customHeight="1" x14ac:dyDescent="0.25">
      <c r="A467" s="3"/>
      <c r="B467" s="4"/>
      <c r="C467" s="15"/>
      <c r="D467" s="16" t="s">
        <v>34</v>
      </c>
      <c r="E467" s="5">
        <f>216000+176400</f>
        <v>392400</v>
      </c>
      <c r="F467" s="5">
        <f>1850000+1665000</f>
        <v>3515000</v>
      </c>
      <c r="G467" s="5">
        <f>25480+25480+28080+28080</f>
        <v>107120</v>
      </c>
      <c r="H467" s="5">
        <f t="shared" si="99"/>
        <v>4014520</v>
      </c>
    </row>
    <row r="468" spans="1:8" s="9" customFormat="1" x14ac:dyDescent="0.25">
      <c r="A468" s="6" t="s">
        <v>7</v>
      </c>
      <c r="B468" s="10" t="s">
        <v>199</v>
      </c>
      <c r="C468" s="28" t="s">
        <v>24</v>
      </c>
      <c r="D468" s="29"/>
      <c r="E468" s="8">
        <f>SUM(E462:E467)</f>
        <v>1867436</v>
      </c>
      <c r="F468" s="8">
        <f t="shared" ref="F468:H468" si="102">SUM(F462:F467)</f>
        <v>14142940</v>
      </c>
      <c r="G468" s="8">
        <f t="shared" si="102"/>
        <v>417099.8</v>
      </c>
      <c r="H468" s="8">
        <f t="shared" si="102"/>
        <v>16427475.800000001</v>
      </c>
    </row>
    <row r="469" spans="1:8" ht="15" customHeight="1" x14ac:dyDescent="0.25">
      <c r="A469" s="3" t="s">
        <v>200</v>
      </c>
      <c r="B469" s="4" t="s">
        <v>201</v>
      </c>
      <c r="C469" s="4" t="s">
        <v>24</v>
      </c>
      <c r="D469" s="5" t="s">
        <v>20</v>
      </c>
      <c r="E469" s="5">
        <v>392480</v>
      </c>
      <c r="F469" s="5">
        <v>981200</v>
      </c>
      <c r="G469" s="5">
        <f>12756+11596</f>
        <v>24352</v>
      </c>
      <c r="H469" s="5">
        <f t="shared" si="99"/>
        <v>1398032</v>
      </c>
    </row>
    <row r="470" spans="1:8" ht="15" customHeight="1" x14ac:dyDescent="0.25">
      <c r="A470" s="3"/>
      <c r="B470" s="4"/>
      <c r="C470" s="4"/>
      <c r="D470" s="5" t="s">
        <v>20</v>
      </c>
      <c r="E470" s="5">
        <v>627200</v>
      </c>
      <c r="F470" s="5">
        <v>1568000</v>
      </c>
      <c r="G470" s="5">
        <f>6233*2</f>
        <v>12466</v>
      </c>
      <c r="H470" s="5">
        <f t="shared" si="99"/>
        <v>2207666</v>
      </c>
    </row>
    <row r="471" spans="1:8" ht="15" customHeight="1" x14ac:dyDescent="0.25">
      <c r="A471" s="3"/>
      <c r="B471" s="4"/>
      <c r="C471" s="4"/>
      <c r="D471" s="5" t="s">
        <v>20</v>
      </c>
      <c r="E471" s="5">
        <v>235200</v>
      </c>
      <c r="F471" s="5">
        <v>588000</v>
      </c>
      <c r="G471" s="5">
        <f>7154*2</f>
        <v>14308</v>
      </c>
      <c r="H471" s="5">
        <f t="shared" si="99"/>
        <v>837508</v>
      </c>
    </row>
    <row r="472" spans="1:8" ht="15" customHeight="1" x14ac:dyDescent="0.25">
      <c r="A472" s="3"/>
      <c r="B472" s="4"/>
      <c r="C472" s="4"/>
      <c r="D472" s="5" t="s">
        <v>20</v>
      </c>
      <c r="E472" s="5">
        <v>215600</v>
      </c>
      <c r="F472" s="5">
        <v>539000</v>
      </c>
      <c r="G472" s="5">
        <f>12348*2</f>
        <v>24696</v>
      </c>
      <c r="H472" s="5">
        <f>SUM(E472:G472)</f>
        <v>779296</v>
      </c>
    </row>
    <row r="473" spans="1:8" ht="15" customHeight="1" x14ac:dyDescent="0.25">
      <c r="A473" s="3"/>
      <c r="B473" s="4"/>
      <c r="C473" s="4"/>
      <c r="D473" s="5" t="s">
        <v>20</v>
      </c>
      <c r="E473" s="5">
        <v>588000</v>
      </c>
      <c r="F473" s="5">
        <v>1470000</v>
      </c>
      <c r="G473" s="5">
        <f>16856*2</f>
        <v>33712</v>
      </c>
      <c r="H473" s="5">
        <f t="shared" si="99"/>
        <v>2091712</v>
      </c>
    </row>
    <row r="474" spans="1:8" s="9" customFormat="1" x14ac:dyDescent="0.25">
      <c r="A474" s="6" t="s">
        <v>7</v>
      </c>
      <c r="B474" s="10" t="s">
        <v>201</v>
      </c>
      <c r="C474" s="28" t="s">
        <v>24</v>
      </c>
      <c r="D474" s="29"/>
      <c r="E474" s="8">
        <f>SUM(E469:E473)</f>
        <v>2058480</v>
      </c>
      <c r="F474" s="8">
        <f t="shared" ref="F474:H474" si="103">SUM(F469:F473)</f>
        <v>5146200</v>
      </c>
      <c r="G474" s="8">
        <f t="shared" si="103"/>
        <v>109534</v>
      </c>
      <c r="H474" s="8">
        <f t="shared" si="103"/>
        <v>7314214</v>
      </c>
    </row>
    <row r="475" spans="1:8" ht="15" customHeight="1" x14ac:dyDescent="0.25">
      <c r="A475" s="3" t="s">
        <v>202</v>
      </c>
      <c r="B475" s="4" t="s">
        <v>203</v>
      </c>
      <c r="C475" s="4" t="s">
        <v>53</v>
      </c>
      <c r="D475" s="5" t="s">
        <v>27</v>
      </c>
      <c r="E475" s="5">
        <v>24500</v>
      </c>
      <c r="F475" s="5">
        <v>49000</v>
      </c>
      <c r="G475" s="5">
        <f>35280*2</f>
        <v>70560</v>
      </c>
      <c r="H475" s="5">
        <f t="shared" ref="H475:H492" si="104">SUM(E475:G475)</f>
        <v>144060</v>
      </c>
    </row>
    <row r="476" spans="1:8" ht="15" customHeight="1" x14ac:dyDescent="0.25">
      <c r="A476" s="3"/>
      <c r="B476" s="4"/>
      <c r="C476" s="15"/>
      <c r="D476" s="5" t="s">
        <v>14</v>
      </c>
      <c r="E476" s="5">
        <v>216000</v>
      </c>
      <c r="F476" s="5">
        <f>250000+1050000</f>
        <v>1300000</v>
      </c>
      <c r="G476" s="5">
        <f>479695+477762</f>
        <v>957457</v>
      </c>
      <c r="H476" s="5">
        <f t="shared" si="104"/>
        <v>2473457</v>
      </c>
    </row>
    <row r="477" spans="1:8" s="9" customFormat="1" x14ac:dyDescent="0.25">
      <c r="A477" s="6" t="s">
        <v>7</v>
      </c>
      <c r="B477" s="10" t="s">
        <v>203</v>
      </c>
      <c r="C477" s="28" t="s">
        <v>53</v>
      </c>
      <c r="D477" s="29"/>
      <c r="E477" s="8">
        <f>SUM(E475:E476)</f>
        <v>240500</v>
      </c>
      <c r="F477" s="8">
        <f t="shared" ref="F477:H477" si="105">SUM(F475:F476)</f>
        <v>1349000</v>
      </c>
      <c r="G477" s="8">
        <f t="shared" si="105"/>
        <v>1028017</v>
      </c>
      <c r="H477" s="8">
        <f t="shared" si="105"/>
        <v>2617517</v>
      </c>
    </row>
    <row r="478" spans="1:8" ht="15" customHeight="1" x14ac:dyDescent="0.25">
      <c r="A478" s="3" t="s">
        <v>204</v>
      </c>
      <c r="B478" s="4" t="s">
        <v>205</v>
      </c>
      <c r="C478" s="4" t="s">
        <v>24</v>
      </c>
      <c r="D478" s="5" t="s">
        <v>13</v>
      </c>
      <c r="E478" s="5">
        <v>411600</v>
      </c>
      <c r="F478" s="5">
        <f>460000+800000+600000+800000</f>
        <v>2660000</v>
      </c>
      <c r="G478" s="5">
        <f>13132*2</f>
        <v>26264</v>
      </c>
      <c r="H478" s="5">
        <f t="shared" si="104"/>
        <v>3097864</v>
      </c>
    </row>
    <row r="479" spans="1:8" ht="15" customHeight="1" x14ac:dyDescent="0.25">
      <c r="A479" s="3"/>
      <c r="B479" s="4"/>
      <c r="C479" s="4"/>
      <c r="D479" s="5" t="s">
        <v>12</v>
      </c>
      <c r="E479" s="5">
        <v>662310</v>
      </c>
      <c r="F479" s="5">
        <f>209000+836000+627000+418000+1250000+935000</f>
        <v>4275000</v>
      </c>
      <c r="G479" s="5">
        <f>14700*2</f>
        <v>29400</v>
      </c>
      <c r="H479" s="5">
        <f t="shared" si="104"/>
        <v>4966710</v>
      </c>
    </row>
    <row r="480" spans="1:8" s="9" customFormat="1" x14ac:dyDescent="0.25">
      <c r="A480" s="6" t="s">
        <v>7</v>
      </c>
      <c r="B480" s="10" t="s">
        <v>205</v>
      </c>
      <c r="C480" s="28" t="s">
        <v>24</v>
      </c>
      <c r="D480" s="29"/>
      <c r="E480" s="8">
        <f>SUM(E478:E479)</f>
        <v>1073910</v>
      </c>
      <c r="F480" s="8">
        <f t="shared" ref="F480:H480" si="106">SUM(F478:F479)</f>
        <v>6935000</v>
      </c>
      <c r="G480" s="8">
        <f t="shared" si="106"/>
        <v>55664</v>
      </c>
      <c r="H480" s="8">
        <f t="shared" si="106"/>
        <v>8064574</v>
      </c>
    </row>
    <row r="481" spans="1:8" ht="15" customHeight="1" x14ac:dyDescent="0.25">
      <c r="A481" s="3" t="s">
        <v>206</v>
      </c>
      <c r="B481" s="4" t="s">
        <v>207</v>
      </c>
      <c r="C481" s="4" t="s">
        <v>96</v>
      </c>
      <c r="D481" s="5" t="s">
        <v>15</v>
      </c>
      <c r="E481" s="5">
        <v>73500</v>
      </c>
      <c r="F481" s="5">
        <v>500000</v>
      </c>
      <c r="G481" s="5">
        <f>105730*2</f>
        <v>211460</v>
      </c>
      <c r="H481" s="5">
        <f t="shared" si="104"/>
        <v>784960</v>
      </c>
    </row>
    <row r="482" spans="1:8" ht="15" customHeight="1" x14ac:dyDescent="0.25">
      <c r="A482" s="3"/>
      <c r="B482" s="4"/>
      <c r="C482" s="4"/>
      <c r="D482" s="5" t="s">
        <v>21</v>
      </c>
      <c r="E482" s="5">
        <v>49000</v>
      </c>
      <c r="F482" s="5">
        <v>500000</v>
      </c>
      <c r="G482" s="5">
        <v>924897</v>
      </c>
      <c r="H482" s="5">
        <f t="shared" si="104"/>
        <v>1473897</v>
      </c>
    </row>
    <row r="483" spans="1:8" ht="15" customHeight="1" x14ac:dyDescent="0.25">
      <c r="A483" s="3"/>
      <c r="B483" s="4"/>
      <c r="C483" s="4"/>
      <c r="D483" s="5" t="s">
        <v>14</v>
      </c>
      <c r="E483" s="5">
        <v>49000</v>
      </c>
      <c r="F483" s="5">
        <v>170000</v>
      </c>
      <c r="G483" s="5">
        <v>1146239</v>
      </c>
      <c r="H483" s="5">
        <f>SUM(E483:G483)</f>
        <v>1365239</v>
      </c>
    </row>
    <row r="484" spans="1:8" ht="15" customHeight="1" x14ac:dyDescent="0.25">
      <c r="A484" s="3"/>
      <c r="B484" s="4"/>
      <c r="C484" s="4"/>
      <c r="D484" s="5" t="s">
        <v>13</v>
      </c>
      <c r="E484" s="5">
        <v>49000</v>
      </c>
      <c r="F484" s="5">
        <v>185000</v>
      </c>
      <c r="G484" s="5">
        <v>113680</v>
      </c>
      <c r="H484" s="5">
        <f t="shared" si="104"/>
        <v>347680</v>
      </c>
    </row>
    <row r="485" spans="1:8" s="9" customFormat="1" x14ac:dyDescent="0.25">
      <c r="A485" s="6" t="s">
        <v>7</v>
      </c>
      <c r="B485" s="10" t="s">
        <v>207</v>
      </c>
      <c r="C485" s="28" t="s">
        <v>96</v>
      </c>
      <c r="D485" s="29"/>
      <c r="E485" s="8">
        <f>SUM(E481:E484)</f>
        <v>220500</v>
      </c>
      <c r="F485" s="8">
        <f t="shared" ref="F485:H485" si="107">SUM(F481:F484)</f>
        <v>1355000</v>
      </c>
      <c r="G485" s="8">
        <f t="shared" si="107"/>
        <v>2396276</v>
      </c>
      <c r="H485" s="8">
        <f t="shared" si="107"/>
        <v>3971776</v>
      </c>
    </row>
    <row r="486" spans="1:8" ht="15" customHeight="1" x14ac:dyDescent="0.25">
      <c r="A486" s="3" t="s">
        <v>208</v>
      </c>
      <c r="B486" s="4" t="s">
        <v>209</v>
      </c>
      <c r="C486" s="4" t="s">
        <v>210</v>
      </c>
      <c r="D486" s="5" t="s">
        <v>20</v>
      </c>
      <c r="E486" s="5"/>
      <c r="F486" s="5"/>
      <c r="G486" s="5">
        <v>1370503.68</v>
      </c>
      <c r="H486" s="5">
        <f t="shared" si="104"/>
        <v>1370503.68</v>
      </c>
    </row>
    <row r="487" spans="1:8" ht="15" customHeight="1" x14ac:dyDescent="0.25">
      <c r="A487" s="3"/>
      <c r="B487" s="4"/>
      <c r="C487" s="4"/>
      <c r="D487" s="5" t="s">
        <v>14</v>
      </c>
      <c r="E487" s="5">
        <v>24500</v>
      </c>
      <c r="F487" s="5">
        <v>300000</v>
      </c>
      <c r="G487" s="5">
        <f>598245+30576+481865</f>
        <v>1110686</v>
      </c>
      <c r="H487" s="5">
        <f t="shared" si="104"/>
        <v>1435186</v>
      </c>
    </row>
    <row r="488" spans="1:8" s="9" customFormat="1" x14ac:dyDescent="0.25">
      <c r="A488" s="6" t="s">
        <v>7</v>
      </c>
      <c r="B488" s="10" t="s">
        <v>209</v>
      </c>
      <c r="C488" s="28" t="s">
        <v>210</v>
      </c>
      <c r="D488" s="29"/>
      <c r="E488" s="8">
        <f>SUM(E486:E487)</f>
        <v>24500</v>
      </c>
      <c r="F488" s="8">
        <f t="shared" ref="F488:H488" si="108">SUM(F486:F487)</f>
        <v>300000</v>
      </c>
      <c r="G488" s="8">
        <f t="shared" si="108"/>
        <v>2481189.6799999997</v>
      </c>
      <c r="H488" s="8">
        <f t="shared" si="108"/>
        <v>2805689.6799999997</v>
      </c>
    </row>
    <row r="489" spans="1:8" ht="15" customHeight="1" x14ac:dyDescent="0.25">
      <c r="A489" s="3" t="s">
        <v>211</v>
      </c>
      <c r="B489" s="4" t="s">
        <v>212</v>
      </c>
      <c r="C489" s="4" t="s">
        <v>80</v>
      </c>
      <c r="D489" s="5" t="s">
        <v>12</v>
      </c>
      <c r="E489" s="5">
        <v>73590</v>
      </c>
      <c r="F489" s="5">
        <v>1050000</v>
      </c>
      <c r="G489" s="5"/>
      <c r="H489" s="5">
        <f t="shared" si="104"/>
        <v>1123590</v>
      </c>
    </row>
    <row r="490" spans="1:8" ht="15" customHeight="1" x14ac:dyDescent="0.25">
      <c r="A490" s="3"/>
      <c r="B490" s="4"/>
      <c r="C490" s="4"/>
      <c r="D490" s="5" t="s">
        <v>54</v>
      </c>
      <c r="E490" s="5">
        <v>73500</v>
      </c>
      <c r="F490" s="5">
        <v>300000</v>
      </c>
      <c r="G490" s="5"/>
      <c r="H490" s="5">
        <f t="shared" si="104"/>
        <v>373500</v>
      </c>
    </row>
    <row r="491" spans="1:8" s="9" customFormat="1" x14ac:dyDescent="0.25">
      <c r="A491" s="6" t="s">
        <v>7</v>
      </c>
      <c r="B491" s="10" t="s">
        <v>212</v>
      </c>
      <c r="C491" s="28" t="s">
        <v>80</v>
      </c>
      <c r="D491" s="29"/>
      <c r="E491" s="8">
        <f>SUM(E489:E490)</f>
        <v>147090</v>
      </c>
      <c r="F491" s="8">
        <f t="shared" ref="F491:H491" si="109">SUM(F489:F490)</f>
        <v>1350000</v>
      </c>
      <c r="G491" s="8">
        <f t="shared" si="109"/>
        <v>0</v>
      </c>
      <c r="H491" s="8">
        <f t="shared" si="109"/>
        <v>1497090</v>
      </c>
    </row>
    <row r="492" spans="1:8" ht="15" customHeight="1" x14ac:dyDescent="0.25">
      <c r="A492" s="3" t="s">
        <v>213</v>
      </c>
      <c r="B492" s="4" t="s">
        <v>214</v>
      </c>
      <c r="C492" s="4" t="s">
        <v>24</v>
      </c>
      <c r="D492" s="5" t="s">
        <v>20</v>
      </c>
      <c r="E492" s="5">
        <v>517360</v>
      </c>
      <c r="F492" s="5">
        <v>1293400</v>
      </c>
      <c r="G492" s="5">
        <f>10525.6*2</f>
        <v>21051.200000000001</v>
      </c>
      <c r="H492" s="5">
        <f t="shared" si="104"/>
        <v>1831811.2</v>
      </c>
    </row>
    <row r="493" spans="1:8" s="9" customFormat="1" x14ac:dyDescent="0.25">
      <c r="A493" s="6" t="s">
        <v>7</v>
      </c>
      <c r="B493" s="10" t="s">
        <v>214</v>
      </c>
      <c r="C493" s="28" t="s">
        <v>24</v>
      </c>
      <c r="D493" s="29"/>
      <c r="E493" s="8">
        <f>SUM(E492:E492)</f>
        <v>517360</v>
      </c>
      <c r="F493" s="8">
        <f t="shared" ref="F493:H493" si="110">SUM(F492:F492)</f>
        <v>1293400</v>
      </c>
      <c r="G493" s="8">
        <f t="shared" si="110"/>
        <v>21051.200000000001</v>
      </c>
      <c r="H493" s="8">
        <f t="shared" si="110"/>
        <v>1831811.2</v>
      </c>
    </row>
    <row r="494" spans="1:8" ht="15" customHeight="1" x14ac:dyDescent="0.25">
      <c r="A494" s="3" t="s">
        <v>215</v>
      </c>
      <c r="B494" s="4" t="s">
        <v>216</v>
      </c>
      <c r="C494" s="4" t="s">
        <v>217</v>
      </c>
      <c r="D494" s="5" t="s">
        <v>16</v>
      </c>
      <c r="E494" s="5">
        <v>49000</v>
      </c>
      <c r="F494" s="5">
        <v>220000</v>
      </c>
      <c r="G494" s="5">
        <f>153655+67424</f>
        <v>221079</v>
      </c>
      <c r="H494" s="5">
        <f t="shared" ref="H494:H542" si="111">SUM(E494:G494)</f>
        <v>490079</v>
      </c>
    </row>
    <row r="495" spans="1:8" s="9" customFormat="1" x14ac:dyDescent="0.25">
      <c r="A495" s="6" t="s">
        <v>7</v>
      </c>
      <c r="B495" s="10" t="s">
        <v>216</v>
      </c>
      <c r="C495" s="28" t="s">
        <v>217</v>
      </c>
      <c r="D495" s="29"/>
      <c r="E495" s="8">
        <f>SUM(E494:E494)</f>
        <v>49000</v>
      </c>
      <c r="F495" s="8">
        <f t="shared" ref="F495:H495" si="112">SUM(F494:F494)</f>
        <v>220000</v>
      </c>
      <c r="G495" s="8">
        <f t="shared" si="112"/>
        <v>221079</v>
      </c>
      <c r="H495" s="8">
        <f t="shared" si="112"/>
        <v>490079</v>
      </c>
    </row>
    <row r="496" spans="1:8" ht="15" customHeight="1" x14ac:dyDescent="0.25">
      <c r="A496" s="3" t="s">
        <v>218</v>
      </c>
      <c r="B496" s="4" t="s">
        <v>219</v>
      </c>
      <c r="C496" s="4" t="s">
        <v>24</v>
      </c>
      <c r="D496" s="5" t="s">
        <v>12</v>
      </c>
      <c r="E496" s="5">
        <v>548800</v>
      </c>
      <c r="F496" s="5">
        <f>1000000+1250000+418000+836000+748000+418000</f>
        <v>4670000</v>
      </c>
      <c r="G496" s="5">
        <f>15680*2</f>
        <v>31360</v>
      </c>
      <c r="H496" s="5">
        <f t="shared" si="111"/>
        <v>5250160</v>
      </c>
    </row>
    <row r="497" spans="1:8" s="9" customFormat="1" x14ac:dyDescent="0.25">
      <c r="A497" s="6" t="s">
        <v>7</v>
      </c>
      <c r="B497" s="10" t="s">
        <v>219</v>
      </c>
      <c r="C497" s="28" t="s">
        <v>24</v>
      </c>
      <c r="D497" s="29"/>
      <c r="E497" s="8">
        <f>SUM(E496:E496)</f>
        <v>548800</v>
      </c>
      <c r="F497" s="8">
        <f t="shared" ref="F497:H497" si="113">SUM(F496:F496)</f>
        <v>4670000</v>
      </c>
      <c r="G497" s="8">
        <f t="shared" si="113"/>
        <v>31360</v>
      </c>
      <c r="H497" s="8">
        <f t="shared" si="113"/>
        <v>5250160</v>
      </c>
    </row>
    <row r="498" spans="1:8" ht="15" customHeight="1" x14ac:dyDescent="0.25">
      <c r="A498" s="3" t="s">
        <v>220</v>
      </c>
      <c r="B498" s="4" t="s">
        <v>221</v>
      </c>
      <c r="C498" s="4" t="s">
        <v>24</v>
      </c>
      <c r="D498" s="5" t="s">
        <v>34</v>
      </c>
      <c r="E498" s="5">
        <v>245300</v>
      </c>
      <c r="F498" s="5">
        <f>936600+770000</f>
        <v>1706600</v>
      </c>
      <c r="G498" s="5">
        <f>24262.4*2</f>
        <v>48524.800000000003</v>
      </c>
      <c r="H498" s="5">
        <f t="shared" si="111"/>
        <v>2000424.8</v>
      </c>
    </row>
    <row r="499" spans="1:8" ht="15" customHeight="1" x14ac:dyDescent="0.25">
      <c r="A499" s="3"/>
      <c r="B499" s="4"/>
      <c r="C499" s="4"/>
      <c r="D499" s="5" t="s">
        <v>34</v>
      </c>
      <c r="E499" s="5">
        <v>137200</v>
      </c>
      <c r="F499" s="5">
        <f>500000+98000</f>
        <v>598000</v>
      </c>
      <c r="G499" s="5">
        <f>27244*2</f>
        <v>54488</v>
      </c>
      <c r="H499" s="5">
        <f t="shared" si="111"/>
        <v>789688</v>
      </c>
    </row>
    <row r="500" spans="1:8" ht="15" customHeight="1" x14ac:dyDescent="0.25">
      <c r="A500" s="3"/>
      <c r="B500" s="4"/>
      <c r="C500" s="4"/>
      <c r="D500" s="5" t="s">
        <v>34</v>
      </c>
      <c r="E500" s="5">
        <v>230136</v>
      </c>
      <c r="F500" s="5">
        <f>550000+575340</f>
        <v>1125340</v>
      </c>
      <c r="G500" s="5">
        <f>24262+26689</f>
        <v>50951</v>
      </c>
      <c r="H500" s="5">
        <f t="shared" si="111"/>
        <v>1406427</v>
      </c>
    </row>
    <row r="501" spans="1:8" ht="15" customHeight="1" x14ac:dyDescent="0.25">
      <c r="A501" s="3"/>
      <c r="B501" s="4"/>
      <c r="C501" s="4"/>
      <c r="D501" s="5" t="s">
        <v>30</v>
      </c>
      <c r="E501" s="5">
        <v>196000</v>
      </c>
      <c r="F501" s="5">
        <f>98000+750000+250000+1000000</f>
        <v>2098000</v>
      </c>
      <c r="G501" s="5">
        <f>56448*2</f>
        <v>112896</v>
      </c>
      <c r="H501" s="5">
        <f t="shared" si="111"/>
        <v>2406896</v>
      </c>
    </row>
    <row r="502" spans="1:8" ht="15" customHeight="1" x14ac:dyDescent="0.25">
      <c r="A502" s="3"/>
      <c r="B502" s="4"/>
      <c r="C502" s="4"/>
      <c r="D502" s="5" t="s">
        <v>34</v>
      </c>
      <c r="E502" s="5">
        <v>666400</v>
      </c>
      <c r="F502" s="5">
        <v>5100000</v>
      </c>
      <c r="G502" s="5">
        <f>21560*2</f>
        <v>43120</v>
      </c>
      <c r="H502" s="5">
        <f t="shared" si="111"/>
        <v>5809520</v>
      </c>
    </row>
    <row r="503" spans="1:8" s="9" customFormat="1" x14ac:dyDescent="0.25">
      <c r="A503" s="6" t="s">
        <v>7</v>
      </c>
      <c r="B503" s="10" t="s">
        <v>221</v>
      </c>
      <c r="C503" s="28" t="s">
        <v>24</v>
      </c>
      <c r="D503" s="29"/>
      <c r="E503" s="8">
        <f>SUM(E498:E502)</f>
        <v>1475036</v>
      </c>
      <c r="F503" s="8">
        <f t="shared" ref="F503:H503" si="114">SUM(F498:F502)</f>
        <v>10627940</v>
      </c>
      <c r="G503" s="8">
        <f t="shared" si="114"/>
        <v>309979.8</v>
      </c>
      <c r="H503" s="8">
        <f t="shared" si="114"/>
        <v>12412955.800000001</v>
      </c>
    </row>
    <row r="504" spans="1:8" ht="15" customHeight="1" x14ac:dyDescent="0.25">
      <c r="A504" s="3" t="s">
        <v>222</v>
      </c>
      <c r="B504" s="4" t="s">
        <v>223</v>
      </c>
      <c r="C504" s="4" t="s">
        <v>83</v>
      </c>
      <c r="D504" s="5" t="s">
        <v>27</v>
      </c>
      <c r="E504" s="5">
        <v>223000</v>
      </c>
      <c r="F504" s="5">
        <f>1350000+450000</f>
        <v>1800000</v>
      </c>
      <c r="G504" s="5">
        <v>64224</v>
      </c>
      <c r="H504" s="5">
        <f t="shared" si="111"/>
        <v>2087224</v>
      </c>
    </row>
    <row r="505" spans="1:8" ht="15" customHeight="1" x14ac:dyDescent="0.25">
      <c r="A505" s="3"/>
      <c r="B505" s="4"/>
      <c r="C505" s="4"/>
      <c r="D505" s="5" t="s">
        <v>20</v>
      </c>
      <c r="E505" s="5">
        <v>107040</v>
      </c>
      <c r="F505" s="5">
        <v>450000</v>
      </c>
      <c r="G505" s="5">
        <f>8*22835+6422</f>
        <v>189102</v>
      </c>
      <c r="H505" s="5">
        <f t="shared" si="111"/>
        <v>746142</v>
      </c>
    </row>
    <row r="506" spans="1:8" ht="15" customHeight="1" x14ac:dyDescent="0.25">
      <c r="A506" s="3"/>
      <c r="B506" s="4"/>
      <c r="C506" s="4"/>
      <c r="D506" s="5" t="s">
        <v>20</v>
      </c>
      <c r="E506" s="5">
        <v>107040</v>
      </c>
      <c r="F506" s="5"/>
      <c r="G506" s="5">
        <f>12*6066+6422</f>
        <v>79214</v>
      </c>
      <c r="H506" s="5">
        <f t="shared" si="111"/>
        <v>186254</v>
      </c>
    </row>
    <row r="507" spans="1:8" ht="15" customHeight="1" x14ac:dyDescent="0.25">
      <c r="A507" s="3"/>
      <c r="B507" s="4"/>
      <c r="C507" s="4"/>
      <c r="D507" s="5" t="s">
        <v>20</v>
      </c>
      <c r="E507" s="5">
        <v>71360</v>
      </c>
      <c r="F507" s="5"/>
      <c r="G507" s="5">
        <f>11596+11596+6066+6066+6066+6066+6066+6066+6422</f>
        <v>66010</v>
      </c>
      <c r="H507" s="5">
        <f t="shared" si="111"/>
        <v>137370</v>
      </c>
    </row>
    <row r="508" spans="1:8" ht="15" customHeight="1" x14ac:dyDescent="0.25">
      <c r="A508" s="3"/>
      <c r="B508" s="4"/>
      <c r="C508" s="4"/>
      <c r="D508" s="5" t="s">
        <v>15</v>
      </c>
      <c r="E508" s="5">
        <v>66900</v>
      </c>
      <c r="F508" s="5">
        <v>600000</v>
      </c>
      <c r="G508" s="5">
        <f>52450+142000</f>
        <v>194450</v>
      </c>
      <c r="H508" s="5">
        <f t="shared" si="111"/>
        <v>861350</v>
      </c>
    </row>
    <row r="509" spans="1:8" ht="15" customHeight="1" x14ac:dyDescent="0.25">
      <c r="A509" s="3"/>
      <c r="B509" s="4"/>
      <c r="C509" s="4"/>
      <c r="D509" s="5" t="s">
        <v>27</v>
      </c>
      <c r="E509" s="5">
        <v>66900</v>
      </c>
      <c r="F509" s="5">
        <v>600000</v>
      </c>
      <c r="G509" s="5">
        <v>64224</v>
      </c>
      <c r="H509" s="5">
        <f t="shared" si="111"/>
        <v>731124</v>
      </c>
    </row>
    <row r="510" spans="1:8" ht="15" customHeight="1" x14ac:dyDescent="0.25">
      <c r="A510" s="3"/>
      <c r="B510" s="4"/>
      <c r="C510" s="4"/>
      <c r="D510" s="5" t="s">
        <v>27</v>
      </c>
      <c r="E510" s="5">
        <v>245300</v>
      </c>
      <c r="F510" s="5">
        <v>1870000</v>
      </c>
      <c r="G510" s="5">
        <v>64224</v>
      </c>
      <c r="H510" s="5">
        <f t="shared" si="111"/>
        <v>2179524</v>
      </c>
    </row>
    <row r="511" spans="1:8" ht="15" customHeight="1" x14ac:dyDescent="0.25">
      <c r="A511" s="3"/>
      <c r="B511" s="4"/>
      <c r="C511" s="4"/>
      <c r="D511" s="5" t="s">
        <v>27</v>
      </c>
      <c r="E511" s="5">
        <v>612500</v>
      </c>
      <c r="F511" s="5">
        <v>4250000</v>
      </c>
      <c r="G511" s="5">
        <v>70560</v>
      </c>
      <c r="H511" s="5">
        <f t="shared" si="111"/>
        <v>4933060</v>
      </c>
    </row>
    <row r="512" spans="1:8" ht="15" customHeight="1" x14ac:dyDescent="0.25">
      <c r="A512" s="3"/>
      <c r="B512" s="4"/>
      <c r="C512" s="4"/>
      <c r="D512" s="5" t="s">
        <v>15</v>
      </c>
      <c r="E512" s="5">
        <v>24500</v>
      </c>
      <c r="F512" s="5">
        <v>170000</v>
      </c>
      <c r="G512" s="5">
        <f>35280+20384+105000</f>
        <v>160664</v>
      </c>
      <c r="H512" s="5">
        <f t="shared" si="111"/>
        <v>355164</v>
      </c>
    </row>
    <row r="513" spans="1:8" ht="15" customHeight="1" x14ac:dyDescent="0.25">
      <c r="A513" s="3"/>
      <c r="B513" s="4"/>
      <c r="C513" s="4"/>
      <c r="D513" s="5" t="s">
        <v>15</v>
      </c>
      <c r="E513" s="5">
        <v>269500</v>
      </c>
      <c r="F513" s="5">
        <v>2200000</v>
      </c>
      <c r="G513" s="5">
        <f>204000+142000</f>
        <v>346000</v>
      </c>
      <c r="H513" s="5">
        <f t="shared" si="111"/>
        <v>2815500</v>
      </c>
    </row>
    <row r="514" spans="1:8" ht="15" customHeight="1" x14ac:dyDescent="0.25">
      <c r="A514" s="3"/>
      <c r="B514" s="4"/>
      <c r="C514" s="4"/>
      <c r="D514" s="5" t="s">
        <v>27</v>
      </c>
      <c r="E514" s="5">
        <v>24500</v>
      </c>
      <c r="F514" s="5"/>
      <c r="G514" s="5">
        <f>35280*2</f>
        <v>70560</v>
      </c>
      <c r="H514" s="5">
        <f t="shared" si="111"/>
        <v>95060</v>
      </c>
    </row>
    <row r="515" spans="1:8" ht="15" customHeight="1" x14ac:dyDescent="0.25">
      <c r="A515" s="3"/>
      <c r="B515" s="4"/>
      <c r="C515" s="4"/>
      <c r="D515" s="5" t="s">
        <v>16</v>
      </c>
      <c r="E515" s="5">
        <v>98000</v>
      </c>
      <c r="F515" s="5">
        <f>600000+650000</f>
        <v>1250000</v>
      </c>
      <c r="G515" s="5">
        <f>71344+223230</f>
        <v>294574</v>
      </c>
      <c r="H515" s="5">
        <f t="shared" si="111"/>
        <v>1642574</v>
      </c>
    </row>
    <row r="516" spans="1:8" ht="15" customHeight="1" x14ac:dyDescent="0.25">
      <c r="A516" s="3"/>
      <c r="B516" s="4"/>
      <c r="C516" s="4"/>
      <c r="D516" s="5" t="s">
        <v>30</v>
      </c>
      <c r="E516" s="5">
        <v>147000</v>
      </c>
      <c r="F516" s="5">
        <v>1086000</v>
      </c>
      <c r="G516" s="5">
        <f>128140+200000</f>
        <v>328140</v>
      </c>
      <c r="H516" s="5">
        <f t="shared" si="111"/>
        <v>1561140</v>
      </c>
    </row>
    <row r="517" spans="1:8" ht="15" customHeight="1" x14ac:dyDescent="0.25">
      <c r="A517" s="3"/>
      <c r="B517" s="4"/>
      <c r="C517" s="15"/>
      <c r="D517" s="16" t="s">
        <v>11</v>
      </c>
      <c r="E517" s="5">
        <v>54000</v>
      </c>
      <c r="F517" s="5">
        <v>300000</v>
      </c>
      <c r="G517" s="5">
        <f>152320+148060</f>
        <v>300380</v>
      </c>
      <c r="H517" s="5">
        <f t="shared" si="111"/>
        <v>654380</v>
      </c>
    </row>
    <row r="518" spans="1:8" ht="15" customHeight="1" x14ac:dyDescent="0.25">
      <c r="A518" s="3"/>
      <c r="B518" s="4"/>
      <c r="C518" s="15"/>
      <c r="D518" s="16" t="s">
        <v>34</v>
      </c>
      <c r="E518" s="5">
        <f>216000+176400</f>
        <v>392400</v>
      </c>
      <c r="F518" s="5">
        <f>1665000+1850000</f>
        <v>3515000</v>
      </c>
      <c r="G518" s="5">
        <f>28080+28080+25480+25480</f>
        <v>107120</v>
      </c>
      <c r="H518" s="5">
        <f t="shared" si="111"/>
        <v>4014520</v>
      </c>
    </row>
    <row r="519" spans="1:8" s="9" customFormat="1" x14ac:dyDescent="0.25">
      <c r="A519" s="6" t="s">
        <v>7</v>
      </c>
      <c r="B519" s="10" t="s">
        <v>223</v>
      </c>
      <c r="C519" s="28" t="s">
        <v>83</v>
      </c>
      <c r="D519" s="29"/>
      <c r="E519" s="8">
        <f>SUM(E504:E518)</f>
        <v>2509940</v>
      </c>
      <c r="F519" s="8">
        <f t="shared" ref="F519:H519" si="115">SUM(F504:F518)</f>
        <v>18091000</v>
      </c>
      <c r="G519" s="8">
        <f t="shared" si="115"/>
        <v>2399446</v>
      </c>
      <c r="H519" s="8">
        <f t="shared" si="115"/>
        <v>23000386</v>
      </c>
    </row>
    <row r="520" spans="1:8" ht="15" customHeight="1" x14ac:dyDescent="0.25">
      <c r="A520" s="3" t="s">
        <v>224</v>
      </c>
      <c r="B520" s="4" t="s">
        <v>225</v>
      </c>
      <c r="C520" s="4" t="s">
        <v>115</v>
      </c>
      <c r="D520" s="5" t="s">
        <v>15</v>
      </c>
      <c r="E520" s="5">
        <v>44600</v>
      </c>
      <c r="F520" s="5">
        <v>400000</v>
      </c>
      <c r="G520" s="5">
        <f>2*52450</f>
        <v>104900</v>
      </c>
      <c r="H520" s="5">
        <f t="shared" si="111"/>
        <v>549500</v>
      </c>
    </row>
    <row r="521" spans="1:8" ht="15" customHeight="1" x14ac:dyDescent="0.25">
      <c r="A521" s="3"/>
      <c r="B521" s="4"/>
      <c r="C521" s="4"/>
      <c r="D521" s="5" t="s">
        <v>12</v>
      </c>
      <c r="E521" s="5">
        <v>441000</v>
      </c>
      <c r="F521" s="5">
        <f>1610000+343000+660000</f>
        <v>2613000</v>
      </c>
      <c r="G521" s="5">
        <f>63112+19796+13132+71344</f>
        <v>167384</v>
      </c>
      <c r="H521" s="5">
        <f t="shared" si="111"/>
        <v>3221384</v>
      </c>
    </row>
    <row r="522" spans="1:8" s="9" customFormat="1" x14ac:dyDescent="0.25">
      <c r="A522" s="6" t="s">
        <v>7</v>
      </c>
      <c r="B522" s="10" t="s">
        <v>225</v>
      </c>
      <c r="C522" s="28" t="s">
        <v>115</v>
      </c>
      <c r="D522" s="29"/>
      <c r="E522" s="8">
        <f>SUM(E520:E521)</f>
        <v>485600</v>
      </c>
      <c r="F522" s="8">
        <f t="shared" ref="F522:H522" si="116">SUM(F520:F521)</f>
        <v>3013000</v>
      </c>
      <c r="G522" s="8">
        <f t="shared" si="116"/>
        <v>272284</v>
      </c>
      <c r="H522" s="8">
        <f t="shared" si="116"/>
        <v>3770884</v>
      </c>
    </row>
    <row r="523" spans="1:8" ht="15" customHeight="1" x14ac:dyDescent="0.25">
      <c r="A523" s="3" t="s">
        <v>226</v>
      </c>
      <c r="B523" s="4" t="s">
        <v>227</v>
      </c>
      <c r="C523" s="4" t="s">
        <v>24</v>
      </c>
      <c r="D523" s="5" t="s">
        <v>12</v>
      </c>
      <c r="E523" s="5">
        <v>411600</v>
      </c>
      <c r="F523" s="5">
        <f>1045000+1250000+418000+836000</f>
        <v>3549000</v>
      </c>
      <c r="G523" s="5">
        <f>15680*2</f>
        <v>31360</v>
      </c>
      <c r="H523" s="5">
        <f t="shared" si="111"/>
        <v>3991960</v>
      </c>
    </row>
    <row r="524" spans="1:8" s="9" customFormat="1" x14ac:dyDescent="0.25">
      <c r="A524" s="6" t="s">
        <v>7</v>
      </c>
      <c r="B524" s="10" t="s">
        <v>227</v>
      </c>
      <c r="C524" s="28" t="s">
        <v>24</v>
      </c>
      <c r="D524" s="29"/>
      <c r="E524" s="8">
        <f>SUM(E523:E523)</f>
        <v>411600</v>
      </c>
      <c r="F524" s="8">
        <f t="shared" ref="F524:H524" si="117">SUM(F523:F523)</f>
        <v>3549000</v>
      </c>
      <c r="G524" s="8">
        <f t="shared" si="117"/>
        <v>31360</v>
      </c>
      <c r="H524" s="8">
        <f t="shared" si="117"/>
        <v>3991960</v>
      </c>
    </row>
    <row r="525" spans="1:8" ht="15" customHeight="1" x14ac:dyDescent="0.25">
      <c r="A525" s="3" t="s">
        <v>228</v>
      </c>
      <c r="B525" s="4" t="s">
        <v>229</v>
      </c>
      <c r="C525" s="4" t="s">
        <v>80</v>
      </c>
      <c r="D525" s="5" t="s">
        <v>27</v>
      </c>
      <c r="E525" s="5">
        <v>98000</v>
      </c>
      <c r="F525" s="5">
        <v>680000</v>
      </c>
      <c r="G525" s="5"/>
      <c r="H525" s="5">
        <f>SUM(E525:G525)</f>
        <v>778000</v>
      </c>
    </row>
    <row r="526" spans="1:8" ht="15" customHeight="1" x14ac:dyDescent="0.25">
      <c r="A526" s="3"/>
      <c r="B526" s="4"/>
      <c r="C526" s="4"/>
      <c r="D526" s="5" t="s">
        <v>12</v>
      </c>
      <c r="E526" s="5">
        <v>24500</v>
      </c>
      <c r="F526" s="5">
        <v>270000</v>
      </c>
      <c r="G526" s="5"/>
      <c r="H526" s="5">
        <f>SUM(E526:G526)</f>
        <v>294500</v>
      </c>
    </row>
    <row r="527" spans="1:8" ht="15" customHeight="1" x14ac:dyDescent="0.25">
      <c r="A527" s="3"/>
      <c r="B527" s="4"/>
      <c r="C527" s="15"/>
      <c r="D527" s="16" t="s">
        <v>12</v>
      </c>
      <c r="E527" s="5">
        <v>27000</v>
      </c>
      <c r="F527" s="5">
        <v>100000</v>
      </c>
      <c r="G527" s="5"/>
      <c r="H527" s="5">
        <f t="shared" ref="H527" si="118">SUM(E527:G527)</f>
        <v>127000</v>
      </c>
    </row>
    <row r="528" spans="1:8" s="9" customFormat="1" x14ac:dyDescent="0.25">
      <c r="A528" s="6" t="s">
        <v>7</v>
      </c>
      <c r="B528" s="10" t="s">
        <v>229</v>
      </c>
      <c r="C528" s="28" t="s">
        <v>80</v>
      </c>
      <c r="D528" s="29"/>
      <c r="E528" s="8">
        <f>SUM(E525:E527)</f>
        <v>149500</v>
      </c>
      <c r="F528" s="8">
        <f t="shared" ref="F528:H528" si="119">SUM(F525:F527)</f>
        <v>1050000</v>
      </c>
      <c r="G528" s="8">
        <f t="shared" si="119"/>
        <v>0</v>
      </c>
      <c r="H528" s="8">
        <f t="shared" si="119"/>
        <v>1199500</v>
      </c>
    </row>
    <row r="529" spans="1:8" ht="15" customHeight="1" x14ac:dyDescent="0.25">
      <c r="A529" s="3" t="s">
        <v>230</v>
      </c>
      <c r="B529" s="4" t="s">
        <v>231</v>
      </c>
      <c r="C529" s="4" t="s">
        <v>53</v>
      </c>
      <c r="D529" s="5" t="s">
        <v>11</v>
      </c>
      <c r="E529" s="5">
        <v>44600</v>
      </c>
      <c r="F529" s="5">
        <v>375000</v>
      </c>
      <c r="G529" s="5">
        <v>371920</v>
      </c>
      <c r="H529" s="5">
        <f t="shared" si="111"/>
        <v>791520</v>
      </c>
    </row>
    <row r="530" spans="1:8" ht="15" customHeight="1" x14ac:dyDescent="0.25">
      <c r="A530" s="3"/>
      <c r="B530" s="4"/>
      <c r="C530" s="4"/>
      <c r="D530" s="5" t="s">
        <v>12</v>
      </c>
      <c r="E530" s="5">
        <v>66900</v>
      </c>
      <c r="F530" s="5">
        <v>690000</v>
      </c>
      <c r="G530" s="5">
        <v>114889.60000000001</v>
      </c>
      <c r="H530" s="5">
        <f t="shared" si="111"/>
        <v>871789.6</v>
      </c>
    </row>
    <row r="531" spans="1:8" ht="15" customHeight="1" x14ac:dyDescent="0.25">
      <c r="A531" s="3"/>
      <c r="B531" s="4"/>
      <c r="C531" s="4"/>
      <c r="D531" s="5" t="s">
        <v>27</v>
      </c>
      <c r="E531" s="5">
        <v>49000</v>
      </c>
      <c r="F531" s="5">
        <v>400000</v>
      </c>
      <c r="G531" s="5">
        <v>70560</v>
      </c>
      <c r="H531" s="5">
        <f t="shared" si="111"/>
        <v>519560</v>
      </c>
    </row>
    <row r="532" spans="1:8" ht="15" customHeight="1" x14ac:dyDescent="0.25">
      <c r="A532" s="3"/>
      <c r="B532" s="4"/>
      <c r="C532" s="4"/>
      <c r="D532" s="5" t="s">
        <v>13</v>
      </c>
      <c r="E532" s="5">
        <v>98000</v>
      </c>
      <c r="F532" s="5">
        <v>800000</v>
      </c>
      <c r="G532" s="5">
        <v>120464</v>
      </c>
      <c r="H532" s="5">
        <f t="shared" si="111"/>
        <v>1018464</v>
      </c>
    </row>
    <row r="533" spans="1:8" ht="15" customHeight="1" x14ac:dyDescent="0.25">
      <c r="A533" s="3"/>
      <c r="B533" s="4"/>
      <c r="C533" s="4"/>
      <c r="D533" s="5" t="s">
        <v>15</v>
      </c>
      <c r="E533" s="5">
        <v>220500</v>
      </c>
      <c r="F533" s="5">
        <v>2070000</v>
      </c>
      <c r="G533" s="5">
        <f>199000+57624</f>
        <v>256624</v>
      </c>
      <c r="H533" s="5">
        <f t="shared" si="111"/>
        <v>2547124</v>
      </c>
    </row>
    <row r="534" spans="1:8" ht="15" customHeight="1" x14ac:dyDescent="0.25">
      <c r="A534" s="3"/>
      <c r="B534" s="4"/>
      <c r="C534" s="4"/>
      <c r="D534" s="5" t="s">
        <v>15</v>
      </c>
      <c r="E534" s="5">
        <v>73500</v>
      </c>
      <c r="F534" s="5">
        <v>840000</v>
      </c>
      <c r="G534" s="5">
        <v>157624</v>
      </c>
      <c r="H534" s="5">
        <f t="shared" si="111"/>
        <v>1071124</v>
      </c>
    </row>
    <row r="535" spans="1:8" ht="15" customHeight="1" x14ac:dyDescent="0.25">
      <c r="A535" s="3"/>
      <c r="B535" s="4"/>
      <c r="C535" s="4"/>
      <c r="D535" s="5" t="s">
        <v>141</v>
      </c>
      <c r="E535" s="5">
        <v>98000</v>
      </c>
      <c r="F535" s="5">
        <v>300000</v>
      </c>
      <c r="G535" s="5">
        <v>450847</v>
      </c>
      <c r="H535" s="5">
        <f t="shared" si="111"/>
        <v>848847</v>
      </c>
    </row>
    <row r="536" spans="1:8" s="9" customFormat="1" x14ac:dyDescent="0.25">
      <c r="A536" s="6" t="s">
        <v>7</v>
      </c>
      <c r="B536" s="10" t="s">
        <v>231</v>
      </c>
      <c r="C536" s="28" t="s">
        <v>53</v>
      </c>
      <c r="D536" s="29"/>
      <c r="E536" s="8">
        <f>SUM(E529:E535)</f>
        <v>650500</v>
      </c>
      <c r="F536" s="8">
        <f t="shared" ref="F536:H536" si="120">SUM(F529:F535)</f>
        <v>5475000</v>
      </c>
      <c r="G536" s="8">
        <f t="shared" si="120"/>
        <v>1542928.6</v>
      </c>
      <c r="H536" s="8">
        <f t="shared" si="120"/>
        <v>7668428.5999999996</v>
      </c>
    </row>
    <row r="537" spans="1:8" s="9" customFormat="1" x14ac:dyDescent="0.25">
      <c r="A537" s="23"/>
      <c r="B537" s="24" t="s">
        <v>286</v>
      </c>
      <c r="C537" s="20" t="s">
        <v>287</v>
      </c>
      <c r="D537" s="20" t="s">
        <v>14</v>
      </c>
      <c r="E537" s="21">
        <v>432000</v>
      </c>
      <c r="F537" s="21">
        <v>2610000</v>
      </c>
      <c r="G537" s="21">
        <f>479695+574902</f>
        <v>1054597</v>
      </c>
      <c r="H537" s="5">
        <f t="shared" si="111"/>
        <v>4096597</v>
      </c>
    </row>
    <row r="538" spans="1:8" s="9" customFormat="1" x14ac:dyDescent="0.25">
      <c r="A538" s="6" t="s">
        <v>7</v>
      </c>
      <c r="B538" s="10" t="s">
        <v>285</v>
      </c>
      <c r="C538" s="28" t="s">
        <v>115</v>
      </c>
      <c r="D538" s="29"/>
      <c r="E538" s="8">
        <f>SUM(E537)</f>
        <v>432000</v>
      </c>
      <c r="F538" s="8">
        <f t="shared" ref="F538:H538" si="121">SUM(F537)</f>
        <v>2610000</v>
      </c>
      <c r="G538" s="8">
        <f t="shared" si="121"/>
        <v>1054597</v>
      </c>
      <c r="H538" s="8">
        <f t="shared" si="121"/>
        <v>4096597</v>
      </c>
    </row>
    <row r="539" spans="1:8" s="9" customFormat="1" x14ac:dyDescent="0.25">
      <c r="A539" s="17"/>
      <c r="B539" s="24" t="s">
        <v>288</v>
      </c>
      <c r="C539" s="20" t="s">
        <v>83</v>
      </c>
      <c r="D539" s="20" t="s">
        <v>12</v>
      </c>
      <c r="E539" s="21">
        <v>432000</v>
      </c>
      <c r="F539" s="21">
        <v>3360000</v>
      </c>
      <c r="G539" s="21">
        <f>68040+68040</f>
        <v>136080</v>
      </c>
      <c r="H539" s="5">
        <f t="shared" si="111"/>
        <v>3928080</v>
      </c>
    </row>
    <row r="540" spans="1:8" s="9" customFormat="1" ht="15.75" customHeight="1" x14ac:dyDescent="0.25">
      <c r="A540" s="6" t="s">
        <v>7</v>
      </c>
      <c r="B540" s="10" t="s">
        <v>288</v>
      </c>
      <c r="C540" s="28" t="s">
        <v>83</v>
      </c>
      <c r="D540" s="29"/>
      <c r="E540" s="8">
        <f>SUM(E539)</f>
        <v>432000</v>
      </c>
      <c r="F540" s="8">
        <f t="shared" ref="F540:H540" si="122">SUM(F539)</f>
        <v>3360000</v>
      </c>
      <c r="G540" s="8">
        <f t="shared" si="122"/>
        <v>136080</v>
      </c>
      <c r="H540" s="8">
        <f t="shared" si="122"/>
        <v>3928080</v>
      </c>
    </row>
    <row r="541" spans="1:8" ht="15" customHeight="1" x14ac:dyDescent="0.25">
      <c r="A541" s="3" t="s">
        <v>232</v>
      </c>
      <c r="B541" s="4" t="s">
        <v>233</v>
      </c>
      <c r="C541" s="4" t="s">
        <v>24</v>
      </c>
      <c r="D541" s="5" t="s">
        <v>30</v>
      </c>
      <c r="E541" s="5">
        <v>313600</v>
      </c>
      <c r="F541" s="5">
        <v>3598000</v>
      </c>
      <c r="G541" s="5">
        <f>48020*2</f>
        <v>96040</v>
      </c>
      <c r="H541" s="5">
        <f t="shared" si="111"/>
        <v>4007640</v>
      </c>
    </row>
    <row r="542" spans="1:8" ht="15" customHeight="1" x14ac:dyDescent="0.25">
      <c r="A542" s="3"/>
      <c r="B542" s="4"/>
      <c r="C542" s="15"/>
      <c r="D542" s="5" t="s">
        <v>141</v>
      </c>
      <c r="E542" s="5">
        <v>431200</v>
      </c>
      <c r="F542" s="5">
        <v>1078000</v>
      </c>
      <c r="G542" s="5">
        <f>17248+17248</f>
        <v>34496</v>
      </c>
      <c r="H542" s="5">
        <f t="shared" si="111"/>
        <v>1543696</v>
      </c>
    </row>
    <row r="543" spans="1:8" s="9" customFormat="1" x14ac:dyDescent="0.25">
      <c r="A543" s="6" t="s">
        <v>7</v>
      </c>
      <c r="B543" s="10" t="s">
        <v>233</v>
      </c>
      <c r="C543" s="28" t="s">
        <v>24</v>
      </c>
      <c r="D543" s="29"/>
      <c r="E543" s="8">
        <f>SUM(E541:E542)</f>
        <v>744800</v>
      </c>
      <c r="F543" s="8">
        <f t="shared" ref="F543:H543" si="123">SUM(F541:F542)</f>
        <v>4676000</v>
      </c>
      <c r="G543" s="8">
        <f t="shared" si="123"/>
        <v>130536</v>
      </c>
      <c r="H543" s="8">
        <f t="shared" si="123"/>
        <v>5551336</v>
      </c>
    </row>
    <row r="544" spans="1:8" ht="15" customHeight="1" x14ac:dyDescent="0.25">
      <c r="A544" s="3" t="s">
        <v>234</v>
      </c>
      <c r="B544" s="4" t="s">
        <v>235</v>
      </c>
      <c r="C544" s="4" t="s">
        <v>217</v>
      </c>
      <c r="D544" s="5" t="s">
        <v>14</v>
      </c>
      <c r="E544" s="5">
        <v>49000</v>
      </c>
      <c r="F544" s="5">
        <v>200000</v>
      </c>
      <c r="G544" s="5">
        <f>1696903+860761</f>
        <v>2557664</v>
      </c>
      <c r="H544" s="5">
        <f>SUM(E544:G544)</f>
        <v>2806664</v>
      </c>
    </row>
    <row r="545" spans="1:8" s="9" customFormat="1" x14ac:dyDescent="0.25">
      <c r="A545" s="6" t="s">
        <v>7</v>
      </c>
      <c r="B545" s="10" t="s">
        <v>235</v>
      </c>
      <c r="C545" s="28" t="s">
        <v>217</v>
      </c>
      <c r="D545" s="29"/>
      <c r="E545" s="8">
        <f>SUM(E544)</f>
        <v>49000</v>
      </c>
      <c r="F545" s="8">
        <f t="shared" ref="F545:H545" si="124">SUM(F544)</f>
        <v>200000</v>
      </c>
      <c r="G545" s="8">
        <f t="shared" si="124"/>
        <v>2557664</v>
      </c>
      <c r="H545" s="8">
        <f t="shared" si="124"/>
        <v>2806664</v>
      </c>
    </row>
    <row r="546" spans="1:8" ht="15" customHeight="1" x14ac:dyDescent="0.25">
      <c r="A546" s="3" t="s">
        <v>236</v>
      </c>
      <c r="B546" s="4" t="s">
        <v>237</v>
      </c>
      <c r="C546" s="4" t="s">
        <v>19</v>
      </c>
      <c r="D546" s="5" t="s">
        <v>27</v>
      </c>
      <c r="E546" s="5">
        <v>579800</v>
      </c>
      <c r="F546" s="5">
        <f>1600000+802800</f>
        <v>2402800</v>
      </c>
      <c r="G546" s="5">
        <f>32112*2</f>
        <v>64224</v>
      </c>
      <c r="H546" s="5">
        <f t="shared" ref="H546:H563" si="125">SUM(E546:G546)</f>
        <v>3046824</v>
      </c>
    </row>
    <row r="547" spans="1:8" ht="15" customHeight="1" x14ac:dyDescent="0.25">
      <c r="A547" s="3"/>
      <c r="B547" s="4"/>
      <c r="C547" s="4"/>
      <c r="D547" s="5" t="s">
        <v>27</v>
      </c>
      <c r="E547" s="5">
        <v>624400</v>
      </c>
      <c r="F547" s="5">
        <v>1248800</v>
      </c>
      <c r="G547" s="5">
        <f>32112*2</f>
        <v>64224</v>
      </c>
      <c r="H547" s="5">
        <f t="shared" si="125"/>
        <v>1937424</v>
      </c>
    </row>
    <row r="548" spans="1:8" ht="15" customHeight="1" x14ac:dyDescent="0.25">
      <c r="A548" s="3"/>
      <c r="B548" s="4"/>
      <c r="C548" s="4"/>
      <c r="D548" s="5" t="s">
        <v>13</v>
      </c>
      <c r="E548" s="5">
        <v>122500</v>
      </c>
      <c r="F548" s="5">
        <v>1400000</v>
      </c>
      <c r="G548" s="5">
        <f>55664+65220</f>
        <v>120884</v>
      </c>
      <c r="H548" s="5">
        <f t="shared" si="125"/>
        <v>1643384</v>
      </c>
    </row>
    <row r="549" spans="1:8" ht="15" customHeight="1" x14ac:dyDescent="0.25">
      <c r="A549" s="3"/>
      <c r="B549" s="4"/>
      <c r="C549" s="4"/>
      <c r="D549" s="5" t="s">
        <v>12</v>
      </c>
      <c r="E549" s="5">
        <v>122650</v>
      </c>
      <c r="F549" s="5">
        <v>1485000</v>
      </c>
      <c r="G549" s="5">
        <f>57445*2</f>
        <v>114890</v>
      </c>
      <c r="H549" s="5">
        <f t="shared" si="125"/>
        <v>1722540</v>
      </c>
    </row>
    <row r="550" spans="1:8" ht="15" customHeight="1" x14ac:dyDescent="0.25">
      <c r="A550" s="3"/>
      <c r="B550" s="4"/>
      <c r="C550" s="4"/>
      <c r="D550" s="5" t="s">
        <v>27</v>
      </c>
      <c r="E550" s="5">
        <v>49000</v>
      </c>
      <c r="F550" s="5">
        <v>400000</v>
      </c>
      <c r="G550" s="5">
        <f>35280*2</f>
        <v>70560</v>
      </c>
      <c r="H550" s="5">
        <f t="shared" si="125"/>
        <v>519560</v>
      </c>
    </row>
    <row r="551" spans="1:8" ht="15" customHeight="1" x14ac:dyDescent="0.25">
      <c r="A551" s="3"/>
      <c r="B551" s="4"/>
      <c r="C551" s="4"/>
      <c r="D551" s="5" t="s">
        <v>15</v>
      </c>
      <c r="E551" s="5">
        <v>122500</v>
      </c>
      <c r="F551" s="5">
        <f>1120000+250000</f>
        <v>1370000</v>
      </c>
      <c r="G551" s="5">
        <f>204000+57624</f>
        <v>261624</v>
      </c>
      <c r="H551" s="5">
        <f t="shared" si="125"/>
        <v>1754124</v>
      </c>
    </row>
    <row r="552" spans="1:8" ht="15" customHeight="1" x14ac:dyDescent="0.25">
      <c r="A552" s="3"/>
      <c r="B552" s="4"/>
      <c r="C552" s="4"/>
      <c r="D552" s="5" t="s">
        <v>13</v>
      </c>
      <c r="E552" s="5">
        <v>147000</v>
      </c>
      <c r="F552" s="5">
        <v>1440000</v>
      </c>
      <c r="G552" s="5">
        <f>57232+69188</f>
        <v>126420</v>
      </c>
      <c r="H552" s="5">
        <f t="shared" si="125"/>
        <v>1713420</v>
      </c>
    </row>
    <row r="553" spans="1:8" ht="15" customHeight="1" x14ac:dyDescent="0.25">
      <c r="A553" s="3"/>
      <c r="B553" s="4"/>
      <c r="C553" s="4"/>
      <c r="D553" s="5" t="s">
        <v>16</v>
      </c>
      <c r="E553" s="5">
        <v>122500</v>
      </c>
      <c r="F553" s="5">
        <f>1400000+180000</f>
        <v>1580000</v>
      </c>
      <c r="G553" s="5">
        <f>68600+68600</f>
        <v>137200</v>
      </c>
      <c r="H553" s="5">
        <f t="shared" si="125"/>
        <v>1839700</v>
      </c>
    </row>
    <row r="554" spans="1:8" ht="15" customHeight="1" x14ac:dyDescent="0.25">
      <c r="A554" s="3"/>
      <c r="B554" s="4"/>
      <c r="C554" s="4"/>
      <c r="D554" s="5" t="s">
        <v>30</v>
      </c>
      <c r="E554" s="5">
        <v>73500</v>
      </c>
      <c r="F554" s="5">
        <f>350000+380000</f>
        <v>730000</v>
      </c>
      <c r="G554" s="5">
        <f>85064*2</f>
        <v>170128</v>
      </c>
      <c r="H554" s="5">
        <f t="shared" si="125"/>
        <v>973628</v>
      </c>
    </row>
    <row r="555" spans="1:8" ht="15" customHeight="1" x14ac:dyDescent="0.25">
      <c r="A555" s="3"/>
      <c r="B555" s="4"/>
      <c r="C555" s="4"/>
      <c r="D555" s="5" t="s">
        <v>34</v>
      </c>
      <c r="E555" s="5">
        <v>122500</v>
      </c>
      <c r="F555" s="5">
        <v>875000</v>
      </c>
      <c r="G555" s="5">
        <f>195350+53508+94000</f>
        <v>342858</v>
      </c>
      <c r="H555" s="5">
        <f>SUM(E555:G555)</f>
        <v>1340358</v>
      </c>
    </row>
    <row r="556" spans="1:8" ht="15" customHeight="1" x14ac:dyDescent="0.25">
      <c r="A556" s="3"/>
      <c r="B556" s="4"/>
      <c r="C556" s="4"/>
      <c r="D556" s="5" t="s">
        <v>141</v>
      </c>
      <c r="E556" s="5">
        <v>196000</v>
      </c>
      <c r="F556" s="5">
        <f>300000+200000+1000000</f>
        <v>1500000</v>
      </c>
      <c r="G556" s="5">
        <f>94080+252478+328000+252908</f>
        <v>927466</v>
      </c>
      <c r="H556" s="5">
        <f>SUM(E556:G556)</f>
        <v>2623466</v>
      </c>
    </row>
    <row r="557" spans="1:8" ht="15" customHeight="1" x14ac:dyDescent="0.25">
      <c r="A557" s="3"/>
      <c r="B557" s="4"/>
      <c r="C557" s="4"/>
      <c r="D557" s="5" t="s">
        <v>16</v>
      </c>
      <c r="E557" s="5">
        <v>122500</v>
      </c>
      <c r="F557" s="5">
        <f>900000+625000</f>
        <v>1525000</v>
      </c>
      <c r="G557" s="5">
        <f>82124+16660+61348</f>
        <v>160132</v>
      </c>
      <c r="H557" s="5">
        <f>SUM(E557:G557)</f>
        <v>1807632</v>
      </c>
    </row>
    <row r="558" spans="1:8" ht="15" customHeight="1" x14ac:dyDescent="0.25">
      <c r="A558" s="3"/>
      <c r="B558" s="4"/>
      <c r="C558" s="4"/>
      <c r="D558" s="5" t="s">
        <v>16</v>
      </c>
      <c r="E558" s="5">
        <v>49000</v>
      </c>
      <c r="F558" s="5">
        <v>440000</v>
      </c>
      <c r="G558" s="5">
        <f>68600*2</f>
        <v>137200</v>
      </c>
      <c r="H558" s="5">
        <f t="shared" si="125"/>
        <v>626200</v>
      </c>
    </row>
    <row r="559" spans="1:8" s="9" customFormat="1" x14ac:dyDescent="0.25">
      <c r="A559" s="6" t="s">
        <v>7</v>
      </c>
      <c r="B559" s="10" t="s">
        <v>237</v>
      </c>
      <c r="C559" s="28" t="s">
        <v>19</v>
      </c>
      <c r="D559" s="29"/>
      <c r="E559" s="8">
        <f>SUM(E546:E558)</f>
        <v>2453850</v>
      </c>
      <c r="F559" s="8">
        <f t="shared" ref="F559:H559" si="126">SUM(F546:F558)</f>
        <v>16396600</v>
      </c>
      <c r="G559" s="8">
        <f t="shared" si="126"/>
        <v>2697810</v>
      </c>
      <c r="H559" s="8">
        <f t="shared" si="126"/>
        <v>21548260</v>
      </c>
    </row>
    <row r="560" spans="1:8" ht="15" customHeight="1" x14ac:dyDescent="0.25">
      <c r="A560" s="3" t="s">
        <v>238</v>
      </c>
      <c r="B560" s="4" t="s">
        <v>239</v>
      </c>
      <c r="C560" s="4" t="s">
        <v>115</v>
      </c>
      <c r="D560" s="5" t="s">
        <v>16</v>
      </c>
      <c r="E560" s="5">
        <v>73500</v>
      </c>
      <c r="F560" s="5">
        <f>150000+180000+180000</f>
        <v>510000</v>
      </c>
      <c r="G560" s="5"/>
      <c r="H560" s="5">
        <f t="shared" si="125"/>
        <v>583500</v>
      </c>
    </row>
    <row r="561" spans="1:8" ht="15" customHeight="1" x14ac:dyDescent="0.25">
      <c r="A561" s="3"/>
      <c r="B561" s="4"/>
      <c r="C561" s="15"/>
      <c r="D561" s="16" t="s">
        <v>13</v>
      </c>
      <c r="E561" s="5">
        <v>432000</v>
      </c>
      <c r="F561" s="5">
        <f>450000+920000+450000-62640</f>
        <v>1757360</v>
      </c>
      <c r="G561" s="5">
        <f>62640+62640</f>
        <v>125280</v>
      </c>
      <c r="H561" s="5">
        <f t="shared" si="125"/>
        <v>2314640</v>
      </c>
    </row>
    <row r="562" spans="1:8" s="9" customFormat="1" x14ac:dyDescent="0.25">
      <c r="A562" s="6" t="s">
        <v>7</v>
      </c>
      <c r="B562" s="10" t="s">
        <v>239</v>
      </c>
      <c r="C562" s="28" t="s">
        <v>115</v>
      </c>
      <c r="D562" s="29"/>
      <c r="E562" s="8">
        <f>SUM(E560:E561)</f>
        <v>505500</v>
      </c>
      <c r="F562" s="8">
        <f t="shared" ref="F562:H562" si="127">SUM(F560:F561)</f>
        <v>2267360</v>
      </c>
      <c r="G562" s="8">
        <f t="shared" si="127"/>
        <v>125280</v>
      </c>
      <c r="H562" s="8">
        <f t="shared" si="127"/>
        <v>2898140</v>
      </c>
    </row>
    <row r="563" spans="1:8" ht="15" customHeight="1" x14ac:dyDescent="0.25">
      <c r="A563" s="3" t="s">
        <v>240</v>
      </c>
      <c r="B563" s="4" t="s">
        <v>241</v>
      </c>
      <c r="C563" s="4" t="s">
        <v>45</v>
      </c>
      <c r="D563" s="5" t="s">
        <v>13</v>
      </c>
      <c r="E563" s="5">
        <v>49000</v>
      </c>
      <c r="F563" s="5">
        <v>200000</v>
      </c>
      <c r="G563" s="5">
        <v>258280</v>
      </c>
      <c r="H563" s="5">
        <f t="shared" si="125"/>
        <v>507280</v>
      </c>
    </row>
    <row r="564" spans="1:8" s="9" customFormat="1" x14ac:dyDescent="0.25">
      <c r="A564" s="6" t="s">
        <v>7</v>
      </c>
      <c r="B564" s="10" t="s">
        <v>241</v>
      </c>
      <c r="C564" s="28" t="s">
        <v>45</v>
      </c>
      <c r="D564" s="29"/>
      <c r="E564" s="8">
        <f>SUM(E563:E563)</f>
        <v>49000</v>
      </c>
      <c r="F564" s="8">
        <f t="shared" ref="F564:H564" si="128">SUM(F563:F563)</f>
        <v>200000</v>
      </c>
      <c r="G564" s="8">
        <f t="shared" si="128"/>
        <v>258280</v>
      </c>
      <c r="H564" s="8">
        <f t="shared" si="128"/>
        <v>507280</v>
      </c>
    </row>
    <row r="565" spans="1:8" ht="15" customHeight="1" x14ac:dyDescent="0.25">
      <c r="A565" s="3" t="s">
        <v>242</v>
      </c>
      <c r="B565" s="4" t="s">
        <v>243</v>
      </c>
      <c r="C565" s="4" t="s">
        <v>96</v>
      </c>
      <c r="D565" s="5" t="s">
        <v>15</v>
      </c>
      <c r="E565" s="5">
        <v>22300</v>
      </c>
      <c r="F565" s="5">
        <v>150000</v>
      </c>
      <c r="G565" s="5">
        <f>105730*2</f>
        <v>211460</v>
      </c>
      <c r="H565" s="5">
        <f t="shared" ref="H565:H631" si="129">SUM(E565:G565)</f>
        <v>383760</v>
      </c>
    </row>
    <row r="566" spans="1:8" ht="15" customHeight="1" x14ac:dyDescent="0.25">
      <c r="A566" s="3"/>
      <c r="B566" s="4"/>
      <c r="C566" s="4"/>
      <c r="D566" s="5" t="s">
        <v>54</v>
      </c>
      <c r="E566" s="5">
        <v>24500</v>
      </c>
      <c r="F566" s="5">
        <v>150000</v>
      </c>
      <c r="G566" s="5">
        <f>22344*2</f>
        <v>44688</v>
      </c>
      <c r="H566" s="5">
        <f t="shared" si="129"/>
        <v>219188</v>
      </c>
    </row>
    <row r="567" spans="1:8" ht="15" customHeight="1" x14ac:dyDescent="0.25">
      <c r="A567" s="3"/>
      <c r="B567" s="4"/>
      <c r="C567" s="4"/>
      <c r="D567" s="5" t="s">
        <v>15</v>
      </c>
      <c r="E567" s="5">
        <v>122500</v>
      </c>
      <c r="F567" s="5">
        <v>1250000</v>
      </c>
      <c r="G567" s="5">
        <f>105730+105730</f>
        <v>211460</v>
      </c>
      <c r="H567" s="5">
        <f t="shared" si="129"/>
        <v>1583960</v>
      </c>
    </row>
    <row r="568" spans="1:8" ht="15" customHeight="1" x14ac:dyDescent="0.25">
      <c r="A568" s="3"/>
      <c r="B568" s="4"/>
      <c r="C568" s="4"/>
      <c r="D568" s="5" t="s">
        <v>21</v>
      </c>
      <c r="E568" s="5">
        <v>49000</v>
      </c>
      <c r="F568" s="5">
        <v>500000</v>
      </c>
      <c r="G568" s="5">
        <v>924897</v>
      </c>
      <c r="H568" s="5">
        <f t="shared" si="129"/>
        <v>1473897</v>
      </c>
    </row>
    <row r="569" spans="1:8" ht="15" customHeight="1" x14ac:dyDescent="0.25">
      <c r="A569" s="3"/>
      <c r="B569" s="4"/>
      <c r="C569" s="4"/>
      <c r="D569" s="5" t="s">
        <v>141</v>
      </c>
      <c r="E569" s="5">
        <v>98000</v>
      </c>
      <c r="F569" s="5">
        <v>300000</v>
      </c>
      <c r="G569" s="5">
        <f>225000*2</f>
        <v>450000</v>
      </c>
      <c r="H569" s="5">
        <f t="shared" si="129"/>
        <v>848000</v>
      </c>
    </row>
    <row r="570" spans="1:8" s="9" customFormat="1" x14ac:dyDescent="0.25">
      <c r="A570" s="6" t="s">
        <v>7</v>
      </c>
      <c r="B570" s="10" t="s">
        <v>243</v>
      </c>
      <c r="C570" s="28" t="s">
        <v>96</v>
      </c>
      <c r="D570" s="29"/>
      <c r="E570" s="8">
        <f>SUM(E565:E569)</f>
        <v>316300</v>
      </c>
      <c r="F570" s="8">
        <f t="shared" ref="F570:H570" si="130">SUM(F565:F569)</f>
        <v>2350000</v>
      </c>
      <c r="G570" s="8">
        <f t="shared" si="130"/>
        <v>1842505</v>
      </c>
      <c r="H570" s="8">
        <f t="shared" si="130"/>
        <v>4508805</v>
      </c>
    </row>
    <row r="571" spans="1:8" ht="15" customHeight="1" x14ac:dyDescent="0.25">
      <c r="A571" s="3" t="s">
        <v>244</v>
      </c>
      <c r="B571" s="4" t="s">
        <v>245</v>
      </c>
      <c r="C571" s="4" t="s">
        <v>19</v>
      </c>
      <c r="D571" s="5" t="s">
        <v>27</v>
      </c>
      <c r="E571" s="5">
        <v>66900</v>
      </c>
      <c r="F571" s="5">
        <v>600000</v>
      </c>
      <c r="G571" s="5">
        <f>32112*2</f>
        <v>64224</v>
      </c>
      <c r="H571" s="5">
        <f t="shared" si="129"/>
        <v>731124</v>
      </c>
    </row>
    <row r="572" spans="1:8" ht="15" customHeight="1" x14ac:dyDescent="0.25">
      <c r="A572" s="3"/>
      <c r="B572" s="4"/>
      <c r="C572" s="4"/>
      <c r="D572" s="5" t="s">
        <v>27</v>
      </c>
      <c r="E572" s="5">
        <v>49000</v>
      </c>
      <c r="F572" s="5">
        <v>400000</v>
      </c>
      <c r="G572" s="5">
        <f>35280*2</f>
        <v>70560</v>
      </c>
      <c r="H572" s="5">
        <f t="shared" si="129"/>
        <v>519560</v>
      </c>
    </row>
    <row r="573" spans="1:8" ht="15" customHeight="1" x14ac:dyDescent="0.25">
      <c r="A573" s="3"/>
      <c r="B573" s="4"/>
      <c r="C573" s="4"/>
      <c r="D573" s="5" t="s">
        <v>54</v>
      </c>
      <c r="E573" s="5">
        <v>245000</v>
      </c>
      <c r="F573" s="5">
        <v>1500000</v>
      </c>
      <c r="G573" s="5">
        <f>35280+20972+20972+35280</f>
        <v>112504</v>
      </c>
      <c r="H573" s="5">
        <f t="shared" si="129"/>
        <v>1857504</v>
      </c>
    </row>
    <row r="574" spans="1:8" s="9" customFormat="1" x14ac:dyDescent="0.25">
      <c r="A574" s="6" t="s">
        <v>7</v>
      </c>
      <c r="B574" s="10" t="s">
        <v>245</v>
      </c>
      <c r="C574" s="28" t="s">
        <v>19</v>
      </c>
      <c r="D574" s="29"/>
      <c r="E574" s="8">
        <f>SUM(E571:E573)</f>
        <v>360900</v>
      </c>
      <c r="F574" s="8">
        <f t="shared" ref="F574:H574" si="131">SUM(F571:F573)</f>
        <v>2500000</v>
      </c>
      <c r="G574" s="8">
        <f t="shared" si="131"/>
        <v>247288</v>
      </c>
      <c r="H574" s="8">
        <f t="shared" si="131"/>
        <v>3108188</v>
      </c>
    </row>
    <row r="575" spans="1:8" ht="15" customHeight="1" x14ac:dyDescent="0.25">
      <c r="A575" s="3" t="s">
        <v>246</v>
      </c>
      <c r="B575" s="4" t="s">
        <v>247</v>
      </c>
      <c r="C575" s="4" t="s">
        <v>24</v>
      </c>
      <c r="D575" s="5" t="s">
        <v>12</v>
      </c>
      <c r="E575" s="5">
        <v>98000</v>
      </c>
      <c r="F575" s="5">
        <v>560000</v>
      </c>
      <c r="G575" s="5">
        <f>20580*2</f>
        <v>41160</v>
      </c>
      <c r="H575" s="5">
        <f t="shared" si="129"/>
        <v>699160</v>
      </c>
    </row>
    <row r="576" spans="1:8" ht="15" customHeight="1" x14ac:dyDescent="0.25">
      <c r="A576" s="3"/>
      <c r="B576" s="4"/>
      <c r="C576" s="4"/>
      <c r="D576" s="5" t="s">
        <v>12</v>
      </c>
      <c r="E576" s="5">
        <v>411600</v>
      </c>
      <c r="F576" s="5">
        <v>2860000</v>
      </c>
      <c r="G576" s="5">
        <f>20580*2</f>
        <v>41160</v>
      </c>
      <c r="H576" s="5">
        <f t="shared" si="129"/>
        <v>3312760</v>
      </c>
    </row>
    <row r="577" spans="1:8" s="9" customFormat="1" x14ac:dyDescent="0.25">
      <c r="A577" s="6" t="s">
        <v>7</v>
      </c>
      <c r="B577" s="10" t="s">
        <v>247</v>
      </c>
      <c r="C577" s="28" t="s">
        <v>24</v>
      </c>
      <c r="D577" s="29"/>
      <c r="E577" s="8">
        <f>SUM(E575:E576)</f>
        <v>509600</v>
      </c>
      <c r="F577" s="8">
        <f t="shared" ref="F577:H577" si="132">SUM(F575:F576)</f>
        <v>3420000</v>
      </c>
      <c r="G577" s="8">
        <f t="shared" si="132"/>
        <v>82320</v>
      </c>
      <c r="H577" s="8">
        <f t="shared" si="132"/>
        <v>4011920</v>
      </c>
    </row>
    <row r="578" spans="1:8" ht="15" customHeight="1" x14ac:dyDescent="0.25">
      <c r="A578" s="3" t="s">
        <v>43</v>
      </c>
      <c r="B578" s="4" t="s">
        <v>248</v>
      </c>
      <c r="C578" s="4" t="s">
        <v>19</v>
      </c>
      <c r="D578" s="5" t="s">
        <v>27</v>
      </c>
      <c r="E578" s="5">
        <v>66900</v>
      </c>
      <c r="F578" s="5">
        <v>600000</v>
      </c>
      <c r="G578" s="5">
        <f>32112*2</f>
        <v>64224</v>
      </c>
      <c r="H578" s="5">
        <f t="shared" si="129"/>
        <v>731124</v>
      </c>
    </row>
    <row r="579" spans="1:8" ht="15" customHeight="1" x14ac:dyDescent="0.25">
      <c r="A579" s="3"/>
      <c r="B579" s="4"/>
      <c r="C579" s="4"/>
      <c r="D579" s="5" t="s">
        <v>11</v>
      </c>
      <c r="E579" s="5">
        <v>44600</v>
      </c>
      <c r="F579" s="5">
        <v>400000</v>
      </c>
      <c r="G579" s="5">
        <f>103370+152320</f>
        <v>255690</v>
      </c>
      <c r="H579" s="5">
        <f t="shared" si="129"/>
        <v>700290</v>
      </c>
    </row>
    <row r="580" spans="1:8" ht="15" customHeight="1" x14ac:dyDescent="0.25">
      <c r="A580" s="3"/>
      <c r="B580" s="4"/>
      <c r="C580" s="4"/>
      <c r="D580" s="5" t="s">
        <v>13</v>
      </c>
      <c r="E580" s="5">
        <v>220500</v>
      </c>
      <c r="F580" s="5">
        <v>1350000</v>
      </c>
      <c r="G580" s="5">
        <f>55664*2</f>
        <v>111328</v>
      </c>
      <c r="H580" s="5">
        <f t="shared" si="129"/>
        <v>1681828</v>
      </c>
    </row>
    <row r="581" spans="1:8" ht="15" customHeight="1" x14ac:dyDescent="0.25">
      <c r="A581" s="3"/>
      <c r="B581" s="4"/>
      <c r="C581" s="4"/>
      <c r="D581" s="5" t="s">
        <v>15</v>
      </c>
      <c r="E581" s="5">
        <v>196000</v>
      </c>
      <c r="F581" s="5">
        <v>1820000</v>
      </c>
      <c r="G581" s="5">
        <f>108192+173000</f>
        <v>281192</v>
      </c>
      <c r="H581" s="5">
        <f t="shared" si="129"/>
        <v>2297192</v>
      </c>
    </row>
    <row r="582" spans="1:8" ht="15" customHeight="1" x14ac:dyDescent="0.25">
      <c r="A582" s="3"/>
      <c r="B582" s="4"/>
      <c r="C582" s="4"/>
      <c r="D582" s="5" t="s">
        <v>30</v>
      </c>
      <c r="E582" s="5">
        <v>171500</v>
      </c>
      <c r="F582" s="5">
        <f>360000+150000+680000</f>
        <v>1190000</v>
      </c>
      <c r="G582" s="5">
        <f>80000+138500</f>
        <v>218500</v>
      </c>
      <c r="H582" s="5">
        <f t="shared" si="129"/>
        <v>1580000</v>
      </c>
    </row>
    <row r="583" spans="1:8" ht="15" customHeight="1" x14ac:dyDescent="0.25">
      <c r="A583" s="3"/>
      <c r="B583" s="4"/>
      <c r="C583" s="4"/>
      <c r="D583" s="5" t="s">
        <v>34</v>
      </c>
      <c r="E583" s="5">
        <v>122500</v>
      </c>
      <c r="F583" s="5">
        <v>875000</v>
      </c>
      <c r="G583" s="5">
        <f>146000+379230</f>
        <v>525230</v>
      </c>
      <c r="H583" s="5">
        <f t="shared" si="129"/>
        <v>1522730</v>
      </c>
    </row>
    <row r="584" spans="1:8" ht="15" customHeight="1" x14ac:dyDescent="0.25">
      <c r="A584" s="3"/>
      <c r="B584" s="4"/>
      <c r="C584" s="4"/>
      <c r="D584" s="5" t="s">
        <v>14</v>
      </c>
      <c r="E584" s="5">
        <v>122500</v>
      </c>
      <c r="F584" s="5">
        <v>960000</v>
      </c>
      <c r="G584" s="5">
        <f>476611+463351</f>
        <v>939962</v>
      </c>
      <c r="H584" s="5">
        <f t="shared" si="129"/>
        <v>2022462</v>
      </c>
    </row>
    <row r="585" spans="1:8" ht="15" customHeight="1" x14ac:dyDescent="0.25">
      <c r="A585" s="3"/>
      <c r="B585" s="4"/>
      <c r="C585" s="4"/>
      <c r="D585" s="5" t="s">
        <v>16</v>
      </c>
      <c r="E585" s="5">
        <v>122500</v>
      </c>
      <c r="F585" s="5">
        <f>400000+150000+250000</f>
        <v>800000</v>
      </c>
      <c r="G585" s="5">
        <f>68992+61544</f>
        <v>130536</v>
      </c>
      <c r="H585" s="5">
        <f t="shared" si="129"/>
        <v>1053036</v>
      </c>
    </row>
    <row r="586" spans="1:8" ht="15" customHeight="1" x14ac:dyDescent="0.25">
      <c r="A586" s="3"/>
      <c r="B586" s="4"/>
      <c r="C586" s="4"/>
      <c r="D586" s="5" t="s">
        <v>15</v>
      </c>
      <c r="E586" s="5">
        <v>196000</v>
      </c>
      <c r="F586" s="5">
        <f>550000+300000+705000</f>
        <v>1555000</v>
      </c>
      <c r="G586" s="5">
        <f>142000+111328</f>
        <v>253328</v>
      </c>
      <c r="H586" s="5">
        <f t="shared" si="129"/>
        <v>2004328</v>
      </c>
    </row>
    <row r="587" spans="1:8" ht="15" customHeight="1" x14ac:dyDescent="0.25">
      <c r="A587" s="3"/>
      <c r="B587" s="4"/>
      <c r="C587" s="4"/>
      <c r="D587" s="5" t="s">
        <v>27</v>
      </c>
      <c r="E587" s="5">
        <v>73500</v>
      </c>
      <c r="F587" s="5">
        <v>580000</v>
      </c>
      <c r="G587" s="5">
        <v>70000</v>
      </c>
      <c r="H587" s="5">
        <f t="shared" si="129"/>
        <v>723500</v>
      </c>
    </row>
    <row r="588" spans="1:8" ht="15" customHeight="1" x14ac:dyDescent="0.25">
      <c r="A588" s="3"/>
      <c r="B588" s="4"/>
      <c r="C588" s="4"/>
      <c r="D588" s="5" t="s">
        <v>21</v>
      </c>
      <c r="E588" s="5">
        <v>73500</v>
      </c>
      <c r="F588" s="5">
        <v>660000</v>
      </c>
      <c r="G588" s="5">
        <f>489956+223000</f>
        <v>712956</v>
      </c>
      <c r="H588" s="5">
        <f t="shared" si="129"/>
        <v>1446456</v>
      </c>
    </row>
    <row r="589" spans="1:8" ht="15" customHeight="1" x14ac:dyDescent="0.25">
      <c r="A589" s="3"/>
      <c r="B589" s="4"/>
      <c r="C589" s="4"/>
      <c r="D589" s="5" t="s">
        <v>27</v>
      </c>
      <c r="E589" s="5">
        <v>49000</v>
      </c>
      <c r="F589" s="5">
        <v>500000</v>
      </c>
      <c r="G589" s="5">
        <f>32000*2</f>
        <v>64000</v>
      </c>
      <c r="H589" s="5">
        <f t="shared" si="129"/>
        <v>613000</v>
      </c>
    </row>
    <row r="590" spans="1:8" ht="15" customHeight="1" x14ac:dyDescent="0.25">
      <c r="A590" s="3"/>
      <c r="B590" s="4"/>
      <c r="C590" s="4"/>
      <c r="D590" s="5" t="s">
        <v>141</v>
      </c>
      <c r="E590" s="5">
        <v>49000</v>
      </c>
      <c r="F590" s="5">
        <v>300000</v>
      </c>
      <c r="G590" s="5">
        <f>252908+83126</f>
        <v>336034</v>
      </c>
      <c r="H590" s="5">
        <f t="shared" si="129"/>
        <v>685034</v>
      </c>
    </row>
    <row r="591" spans="1:8" ht="15" customHeight="1" x14ac:dyDescent="0.25">
      <c r="A591" s="3"/>
      <c r="B591" s="4"/>
      <c r="C591" s="4"/>
      <c r="D591" s="5" t="s">
        <v>11</v>
      </c>
      <c r="E591" s="5">
        <v>49000</v>
      </c>
      <c r="F591" s="5">
        <v>350000</v>
      </c>
      <c r="G591" s="5">
        <f>173000+286000</f>
        <v>459000</v>
      </c>
      <c r="H591" s="5">
        <f t="shared" si="129"/>
        <v>858000</v>
      </c>
    </row>
    <row r="592" spans="1:8" ht="15" customHeight="1" x14ac:dyDescent="0.25">
      <c r="A592" s="3"/>
      <c r="B592" s="4"/>
      <c r="C592" s="4"/>
      <c r="D592" s="5" t="s">
        <v>15</v>
      </c>
      <c r="E592" s="5">
        <v>98000</v>
      </c>
      <c r="F592" s="5">
        <f>500000+340000</f>
        <v>840000</v>
      </c>
      <c r="G592" s="5">
        <f>53400+53400</f>
        <v>106800</v>
      </c>
      <c r="H592" s="5">
        <f t="shared" si="129"/>
        <v>1044800</v>
      </c>
    </row>
    <row r="593" spans="1:8" ht="15" customHeight="1" x14ac:dyDescent="0.25">
      <c r="A593" s="3"/>
      <c r="B593" s="4"/>
      <c r="C593" s="4"/>
      <c r="D593" s="5" t="s">
        <v>30</v>
      </c>
      <c r="E593" s="5">
        <v>73500</v>
      </c>
      <c r="F593" s="5">
        <f>328000+380000</f>
        <v>708000</v>
      </c>
      <c r="G593" s="5">
        <f>399493+82064</f>
        <v>481557</v>
      </c>
      <c r="H593" s="5">
        <f t="shared" si="129"/>
        <v>1263057</v>
      </c>
    </row>
    <row r="594" spans="1:8" ht="15" customHeight="1" x14ac:dyDescent="0.25">
      <c r="A594" s="3"/>
      <c r="B594" s="4"/>
      <c r="C594" s="4"/>
      <c r="D594" s="5" t="s">
        <v>14</v>
      </c>
      <c r="E594" s="5">
        <v>98000</v>
      </c>
      <c r="F594" s="5">
        <v>500000</v>
      </c>
      <c r="G594" s="5">
        <f>476180+477265</f>
        <v>953445</v>
      </c>
      <c r="H594" s="5">
        <f t="shared" si="129"/>
        <v>1551445</v>
      </c>
    </row>
    <row r="595" spans="1:8" ht="15" customHeight="1" x14ac:dyDescent="0.25">
      <c r="A595" s="3"/>
      <c r="B595" s="4"/>
      <c r="C595" s="4"/>
      <c r="D595" s="5" t="s">
        <v>12</v>
      </c>
      <c r="E595" s="5">
        <v>122500</v>
      </c>
      <c r="F595" s="5">
        <f>540000+800000+230000</f>
        <v>1570000</v>
      </c>
      <c r="G595" s="5">
        <f>189242+58212</f>
        <v>247454</v>
      </c>
      <c r="H595" s="5">
        <f t="shared" si="129"/>
        <v>1939954</v>
      </c>
    </row>
    <row r="596" spans="1:8" ht="15" customHeight="1" x14ac:dyDescent="0.25">
      <c r="A596" s="3"/>
      <c r="B596" s="4"/>
      <c r="C596" s="4"/>
      <c r="D596" s="5" t="s">
        <v>11</v>
      </c>
      <c r="E596" s="5">
        <v>49000</v>
      </c>
      <c r="F596" s="5">
        <f>150000+700000</f>
        <v>850000</v>
      </c>
      <c r="G596" s="5">
        <f>238000+188742</f>
        <v>426742</v>
      </c>
      <c r="H596" s="5">
        <f t="shared" si="129"/>
        <v>1325742</v>
      </c>
    </row>
    <row r="597" spans="1:8" ht="15" customHeight="1" x14ac:dyDescent="0.25">
      <c r="A597" s="3"/>
      <c r="B597" s="4"/>
      <c r="C597" s="15"/>
      <c r="D597" s="16" t="s">
        <v>21</v>
      </c>
      <c r="E597" s="5">
        <v>73500</v>
      </c>
      <c r="F597" s="5">
        <v>997000</v>
      </c>
      <c r="G597" s="5">
        <f>479420+481596</f>
        <v>961016</v>
      </c>
      <c r="H597" s="5">
        <f t="shared" si="129"/>
        <v>2031516</v>
      </c>
    </row>
    <row r="598" spans="1:8" s="9" customFormat="1" x14ac:dyDescent="0.25">
      <c r="A598" s="6" t="s">
        <v>7</v>
      </c>
      <c r="B598" s="10" t="s">
        <v>248</v>
      </c>
      <c r="C598" s="28" t="s">
        <v>19</v>
      </c>
      <c r="D598" s="29"/>
      <c r="E598" s="8">
        <f>SUM(E578:E597)</f>
        <v>2071500</v>
      </c>
      <c r="F598" s="8">
        <f t="shared" ref="F598:H598" si="133">SUM(F578:F597)</f>
        <v>17405000</v>
      </c>
      <c r="G598" s="8">
        <f t="shared" si="133"/>
        <v>7598994</v>
      </c>
      <c r="H598" s="8">
        <f t="shared" si="133"/>
        <v>27075494</v>
      </c>
    </row>
    <row r="599" spans="1:8" ht="15" customHeight="1" x14ac:dyDescent="0.25">
      <c r="A599" s="3" t="s">
        <v>249</v>
      </c>
      <c r="B599" s="4" t="s">
        <v>250</v>
      </c>
      <c r="C599" s="4" t="s">
        <v>45</v>
      </c>
      <c r="D599" s="5" t="s">
        <v>15</v>
      </c>
      <c r="E599" s="5"/>
      <c r="F599" s="5"/>
      <c r="G599" s="5">
        <v>105000</v>
      </c>
      <c r="H599" s="5">
        <f t="shared" si="129"/>
        <v>105000</v>
      </c>
    </row>
    <row r="600" spans="1:8" ht="15" customHeight="1" x14ac:dyDescent="0.25">
      <c r="A600" s="3"/>
      <c r="B600" s="4"/>
      <c r="C600" s="4"/>
      <c r="D600" s="5" t="s">
        <v>15</v>
      </c>
      <c r="E600" s="5"/>
      <c r="F600" s="5"/>
      <c r="G600" s="5">
        <f>140440+215730</f>
        <v>356170</v>
      </c>
      <c r="H600" s="5">
        <f t="shared" si="129"/>
        <v>356170</v>
      </c>
    </row>
    <row r="601" spans="1:8" ht="15" customHeight="1" x14ac:dyDescent="0.25">
      <c r="A601" s="3"/>
      <c r="B601" s="4"/>
      <c r="C601" s="4"/>
      <c r="D601" s="5" t="s">
        <v>14</v>
      </c>
      <c r="E601" s="5">
        <v>44600</v>
      </c>
      <c r="F601" s="5">
        <v>600000</v>
      </c>
      <c r="G601" s="5">
        <v>1702194</v>
      </c>
      <c r="H601" s="5">
        <f t="shared" si="129"/>
        <v>2346794</v>
      </c>
    </row>
    <row r="602" spans="1:8" ht="15" customHeight="1" x14ac:dyDescent="0.25">
      <c r="A602" s="3"/>
      <c r="B602" s="4"/>
      <c r="C602" s="4"/>
      <c r="D602" s="5" t="s">
        <v>11</v>
      </c>
      <c r="E602" s="5"/>
      <c r="F602" s="5"/>
      <c r="G602" s="5">
        <v>330320</v>
      </c>
      <c r="H602" s="5">
        <f t="shared" si="129"/>
        <v>330320</v>
      </c>
    </row>
    <row r="603" spans="1:8" ht="15" customHeight="1" x14ac:dyDescent="0.25">
      <c r="A603" s="3"/>
      <c r="B603" s="4"/>
      <c r="C603" s="4"/>
      <c r="D603" s="5" t="s">
        <v>16</v>
      </c>
      <c r="E603" s="5">
        <v>73500</v>
      </c>
      <c r="F603" s="5">
        <f>360000+410000+250000</f>
        <v>1020000</v>
      </c>
      <c r="G603" s="5">
        <f>118150+57610+89180</f>
        <v>264940</v>
      </c>
      <c r="H603" s="5">
        <f t="shared" si="129"/>
        <v>1358440</v>
      </c>
    </row>
    <row r="604" spans="1:8" ht="15" customHeight="1" x14ac:dyDescent="0.25">
      <c r="A604" s="3"/>
      <c r="B604" s="4"/>
      <c r="C604" s="4"/>
      <c r="D604" s="5" t="s">
        <v>251</v>
      </c>
      <c r="E604" s="5">
        <v>24500</v>
      </c>
      <c r="F604" s="5">
        <v>220000</v>
      </c>
      <c r="G604" s="5">
        <v>1345702</v>
      </c>
      <c r="H604" s="5">
        <f t="shared" si="129"/>
        <v>1590202</v>
      </c>
    </row>
    <row r="605" spans="1:8" ht="15" customHeight="1" x14ac:dyDescent="0.25">
      <c r="A605" s="3"/>
      <c r="B605" s="4"/>
      <c r="C605" s="4"/>
      <c r="D605" s="5" t="s">
        <v>13</v>
      </c>
      <c r="E605" s="5">
        <v>49000</v>
      </c>
      <c r="F605" s="5">
        <v>165000</v>
      </c>
      <c r="G605" s="5">
        <v>140440</v>
      </c>
      <c r="H605" s="5">
        <f t="shared" si="129"/>
        <v>354440</v>
      </c>
    </row>
    <row r="606" spans="1:8" ht="15" customHeight="1" x14ac:dyDescent="0.25">
      <c r="A606" s="3"/>
      <c r="B606" s="4"/>
      <c r="C606" s="4"/>
      <c r="D606" s="5" t="s">
        <v>11</v>
      </c>
      <c r="E606" s="5">
        <v>49000</v>
      </c>
      <c r="F606" s="5">
        <v>300000</v>
      </c>
      <c r="G606" s="5">
        <f>211826+84420+35280</f>
        <v>331526</v>
      </c>
      <c r="H606" s="5">
        <f t="shared" si="129"/>
        <v>680526</v>
      </c>
    </row>
    <row r="607" spans="1:8" ht="15" customHeight="1" x14ac:dyDescent="0.25">
      <c r="A607" s="3"/>
      <c r="B607" s="4"/>
      <c r="C607" s="4"/>
      <c r="D607" s="5" t="s">
        <v>15</v>
      </c>
      <c r="E607" s="5">
        <v>49000</v>
      </c>
      <c r="F607" s="5">
        <v>250000</v>
      </c>
      <c r="G607" s="5">
        <v>216000</v>
      </c>
      <c r="H607" s="5">
        <f t="shared" si="129"/>
        <v>515000</v>
      </c>
    </row>
    <row r="608" spans="1:8" ht="15" customHeight="1" x14ac:dyDescent="0.25">
      <c r="A608" s="3"/>
      <c r="B608" s="4"/>
      <c r="C608" s="4"/>
      <c r="D608" s="5" t="s">
        <v>21</v>
      </c>
      <c r="E608" s="5">
        <v>24500</v>
      </c>
      <c r="F608" s="5">
        <v>210000</v>
      </c>
      <c r="G608" s="5">
        <v>963704</v>
      </c>
      <c r="H608" s="5">
        <f t="shared" si="129"/>
        <v>1198204</v>
      </c>
    </row>
    <row r="609" spans="1:8" ht="15" customHeight="1" x14ac:dyDescent="0.25">
      <c r="A609" s="3"/>
      <c r="B609" s="4"/>
      <c r="C609" s="4"/>
      <c r="D609" s="5" t="s">
        <v>14</v>
      </c>
      <c r="E609" s="5">
        <v>24500</v>
      </c>
      <c r="F609" s="5">
        <v>170000</v>
      </c>
      <c r="G609" s="5">
        <f>254572+926262</f>
        <v>1180834</v>
      </c>
      <c r="H609" s="5">
        <f>SUM(E609:G609)</f>
        <v>1375334</v>
      </c>
    </row>
    <row r="610" spans="1:8" ht="15" customHeight="1" x14ac:dyDescent="0.25">
      <c r="A610" s="3"/>
      <c r="B610" s="4"/>
      <c r="C610" s="4"/>
      <c r="D610" s="5" t="s">
        <v>27</v>
      </c>
      <c r="E610" s="5">
        <v>24500</v>
      </c>
      <c r="F610" s="5">
        <v>0</v>
      </c>
      <c r="G610" s="5">
        <v>156000</v>
      </c>
      <c r="H610" s="5">
        <f>SUM(E610:G610)</f>
        <v>180500</v>
      </c>
    </row>
    <row r="611" spans="1:8" ht="15" customHeight="1" x14ac:dyDescent="0.25">
      <c r="A611" s="3"/>
      <c r="B611" s="4"/>
      <c r="C611" s="4"/>
      <c r="D611" s="5" t="s">
        <v>13</v>
      </c>
      <c r="E611" s="5">
        <v>73500</v>
      </c>
      <c r="F611" s="5">
        <f>230000+270000</f>
        <v>500000</v>
      </c>
      <c r="G611" s="5">
        <f>251868+16072+11368+20384+158760</f>
        <v>458452</v>
      </c>
      <c r="H611" s="5">
        <f t="shared" si="129"/>
        <v>1031952</v>
      </c>
    </row>
    <row r="612" spans="1:8" ht="15" customHeight="1" x14ac:dyDescent="0.25">
      <c r="A612" s="3"/>
      <c r="B612" s="4"/>
      <c r="C612" s="15"/>
      <c r="D612" s="16" t="s">
        <v>11</v>
      </c>
      <c r="E612" s="5">
        <v>54000</v>
      </c>
      <c r="F612" s="5">
        <f>300000+250000</f>
        <v>550000</v>
      </c>
      <c r="G612" s="5">
        <f>162842+76600+142000</f>
        <v>381442</v>
      </c>
      <c r="H612" s="5">
        <f t="shared" si="129"/>
        <v>985442</v>
      </c>
    </row>
    <row r="613" spans="1:8" ht="15" customHeight="1" x14ac:dyDescent="0.25">
      <c r="A613" s="3"/>
      <c r="B613" s="4"/>
      <c r="C613" s="15"/>
      <c r="D613" s="16" t="s">
        <v>21</v>
      </c>
      <c r="E613" s="5">
        <v>27000</v>
      </c>
      <c r="F613" s="5">
        <v>250000</v>
      </c>
      <c r="G613" s="5">
        <v>824844</v>
      </c>
      <c r="H613" s="5">
        <f t="shared" si="129"/>
        <v>1101844</v>
      </c>
    </row>
    <row r="614" spans="1:8" ht="15" customHeight="1" x14ac:dyDescent="0.25">
      <c r="A614" s="3"/>
      <c r="B614" s="4"/>
      <c r="C614" s="15"/>
      <c r="D614" s="16" t="s">
        <v>141</v>
      </c>
      <c r="E614" s="5">
        <v>54000</v>
      </c>
      <c r="F614" s="5">
        <v>360000</v>
      </c>
      <c r="G614" s="5">
        <f>94000+141000+92016</f>
        <v>327016</v>
      </c>
      <c r="H614" s="5">
        <f t="shared" si="129"/>
        <v>741016</v>
      </c>
    </row>
    <row r="615" spans="1:8" ht="15" customHeight="1" x14ac:dyDescent="0.25">
      <c r="A615" s="3"/>
      <c r="B615" s="4"/>
      <c r="C615" s="15"/>
      <c r="D615" s="16" t="s">
        <v>12</v>
      </c>
      <c r="E615" s="5">
        <v>24500</v>
      </c>
      <c r="F615" s="5">
        <v>220000</v>
      </c>
      <c r="G615" s="5">
        <f>16072+286034</f>
        <v>302106</v>
      </c>
      <c r="H615" s="5">
        <f t="shared" si="129"/>
        <v>546606</v>
      </c>
    </row>
    <row r="616" spans="1:8" s="9" customFormat="1" x14ac:dyDescent="0.25">
      <c r="A616" s="6" t="s">
        <v>7</v>
      </c>
      <c r="B616" s="10" t="s">
        <v>250</v>
      </c>
      <c r="C616" s="28" t="s">
        <v>45</v>
      </c>
      <c r="D616" s="29"/>
      <c r="E616" s="8">
        <f>SUM(E599:E615)</f>
        <v>596100</v>
      </c>
      <c r="F616" s="8">
        <f t="shared" ref="F616:H616" si="134">SUM(F599:F615)</f>
        <v>4815000</v>
      </c>
      <c r="G616" s="8">
        <f t="shared" si="134"/>
        <v>9386690</v>
      </c>
      <c r="H616" s="8">
        <f t="shared" si="134"/>
        <v>14797790</v>
      </c>
    </row>
    <row r="617" spans="1:8" ht="15" customHeight="1" x14ac:dyDescent="0.25">
      <c r="A617" s="3" t="s">
        <v>252</v>
      </c>
      <c r="B617" s="4" t="s">
        <v>253</v>
      </c>
      <c r="C617" s="4" t="s">
        <v>71</v>
      </c>
      <c r="D617" s="5" t="s">
        <v>11</v>
      </c>
      <c r="E617" s="5">
        <v>89200</v>
      </c>
      <c r="F617" s="5">
        <v>3600000</v>
      </c>
      <c r="G617" s="5"/>
      <c r="H617" s="5">
        <f t="shared" si="129"/>
        <v>3689200</v>
      </c>
    </row>
    <row r="618" spans="1:8" ht="15" customHeight="1" x14ac:dyDescent="0.25">
      <c r="A618" s="3"/>
      <c r="B618" s="4"/>
      <c r="C618" s="4"/>
      <c r="D618" s="5" t="s">
        <v>12</v>
      </c>
      <c r="E618" s="5">
        <v>73590</v>
      </c>
      <c r="F618" s="5">
        <v>1040000</v>
      </c>
      <c r="G618" s="5"/>
      <c r="H618" s="5">
        <f t="shared" si="129"/>
        <v>1113590</v>
      </c>
    </row>
    <row r="619" spans="1:8" ht="15" customHeight="1" x14ac:dyDescent="0.25">
      <c r="A619" s="3"/>
      <c r="B619" s="4"/>
      <c r="C619" s="4"/>
      <c r="D619" s="5" t="s">
        <v>13</v>
      </c>
      <c r="E619" s="5">
        <v>269500</v>
      </c>
      <c r="F619" s="5">
        <v>5500000</v>
      </c>
      <c r="G619" s="5"/>
      <c r="H619" s="5">
        <f t="shared" si="129"/>
        <v>5769500</v>
      </c>
    </row>
    <row r="620" spans="1:8" ht="15" customHeight="1" x14ac:dyDescent="0.25">
      <c r="A620" s="3"/>
      <c r="B620" s="4"/>
      <c r="C620" s="4"/>
      <c r="D620" s="5" t="s">
        <v>15</v>
      </c>
      <c r="E620" s="5">
        <v>98000</v>
      </c>
      <c r="F620" s="5">
        <v>3000000</v>
      </c>
      <c r="G620" s="5"/>
      <c r="H620" s="5">
        <f t="shared" si="129"/>
        <v>3098000</v>
      </c>
    </row>
    <row r="621" spans="1:8" ht="15" customHeight="1" x14ac:dyDescent="0.25">
      <c r="A621" s="3"/>
      <c r="B621" s="4"/>
      <c r="C621" s="4"/>
      <c r="D621" s="5" t="s">
        <v>14</v>
      </c>
      <c r="E621" s="5">
        <v>24500</v>
      </c>
      <c r="F621" s="5"/>
      <c r="G621" s="5">
        <f>523165+458496</f>
        <v>981661</v>
      </c>
      <c r="H621" s="5">
        <f t="shared" si="129"/>
        <v>1006161</v>
      </c>
    </row>
    <row r="622" spans="1:8" ht="15" customHeight="1" x14ac:dyDescent="0.25">
      <c r="A622" s="3"/>
      <c r="B622" s="4"/>
      <c r="C622" s="4"/>
      <c r="D622" s="5" t="s">
        <v>16</v>
      </c>
      <c r="E622" s="5">
        <v>73500</v>
      </c>
      <c r="F622" s="5">
        <v>750000</v>
      </c>
      <c r="G622" s="5"/>
      <c r="H622" s="5">
        <f t="shared" si="129"/>
        <v>823500</v>
      </c>
    </row>
    <row r="623" spans="1:8" ht="15" customHeight="1" x14ac:dyDescent="0.25">
      <c r="A623" s="3"/>
      <c r="B623" s="4"/>
      <c r="C623" s="4"/>
      <c r="D623" s="5" t="s">
        <v>34</v>
      </c>
      <c r="E623" s="5">
        <v>73500</v>
      </c>
      <c r="F623" s="5">
        <v>735000</v>
      </c>
      <c r="G623" s="5">
        <v>2866522</v>
      </c>
      <c r="H623" s="5">
        <f t="shared" si="129"/>
        <v>3675022</v>
      </c>
    </row>
    <row r="624" spans="1:8" ht="15" customHeight="1" x14ac:dyDescent="0.25">
      <c r="A624" s="3"/>
      <c r="B624" s="4"/>
      <c r="C624" s="15"/>
      <c r="D624" s="16" t="s">
        <v>12</v>
      </c>
      <c r="E624" s="5">
        <v>27000</v>
      </c>
      <c r="F624" s="5">
        <v>750000</v>
      </c>
      <c r="G624" s="5"/>
      <c r="H624" s="5">
        <f t="shared" si="129"/>
        <v>777000</v>
      </c>
    </row>
    <row r="625" spans="1:8" ht="15" customHeight="1" x14ac:dyDescent="0.25">
      <c r="A625" s="3"/>
      <c r="B625" s="4"/>
      <c r="C625" s="15"/>
      <c r="D625" s="16" t="s">
        <v>14</v>
      </c>
      <c r="E625" s="5">
        <v>162000</v>
      </c>
      <c r="F625" s="5">
        <v>2700000</v>
      </c>
      <c r="G625" s="5">
        <f>1163000+1118969</f>
        <v>2281969</v>
      </c>
      <c r="H625" s="5">
        <f t="shared" si="129"/>
        <v>5143969</v>
      </c>
    </row>
    <row r="626" spans="1:8" s="9" customFormat="1" x14ac:dyDescent="0.25">
      <c r="A626" s="6" t="s">
        <v>7</v>
      </c>
      <c r="B626" s="10" t="s">
        <v>253</v>
      </c>
      <c r="C626" s="28" t="s">
        <v>71</v>
      </c>
      <c r="D626" s="29"/>
      <c r="E626" s="8">
        <f>SUM(E617:E625)</f>
        <v>890790</v>
      </c>
      <c r="F626" s="8">
        <f t="shared" ref="F626:H626" si="135">SUM(F617:F625)</f>
        <v>18075000</v>
      </c>
      <c r="G626" s="8">
        <f t="shared" si="135"/>
        <v>6130152</v>
      </c>
      <c r="H626" s="8">
        <f t="shared" si="135"/>
        <v>25095942</v>
      </c>
    </row>
    <row r="627" spans="1:8" ht="15" customHeight="1" x14ac:dyDescent="0.25">
      <c r="A627" s="3" t="s">
        <v>254</v>
      </c>
      <c r="B627" s="4" t="s">
        <v>255</v>
      </c>
      <c r="C627" s="4" t="s">
        <v>96</v>
      </c>
      <c r="D627" s="5" t="s">
        <v>15</v>
      </c>
      <c r="E627" s="5">
        <v>73500</v>
      </c>
      <c r="F627" s="5">
        <v>600000</v>
      </c>
      <c r="G627" s="5">
        <f>105730*2</f>
        <v>211460</v>
      </c>
      <c r="H627" s="5">
        <f t="shared" si="129"/>
        <v>884960</v>
      </c>
    </row>
    <row r="628" spans="1:8" s="9" customFormat="1" x14ac:dyDescent="0.25">
      <c r="A628" s="6" t="s">
        <v>7</v>
      </c>
      <c r="B628" s="10" t="s">
        <v>255</v>
      </c>
      <c r="C628" s="28" t="s">
        <v>96</v>
      </c>
      <c r="D628" s="29"/>
      <c r="E628" s="8">
        <f>SUM(E627)</f>
        <v>73500</v>
      </c>
      <c r="F628" s="8">
        <f t="shared" ref="F628:H628" si="136">SUM(F627)</f>
        <v>600000</v>
      </c>
      <c r="G628" s="8">
        <f t="shared" si="136"/>
        <v>211460</v>
      </c>
      <c r="H628" s="8">
        <f t="shared" si="136"/>
        <v>884960</v>
      </c>
    </row>
    <row r="629" spans="1:8" ht="15" customHeight="1" x14ac:dyDescent="0.25">
      <c r="A629" s="3" t="s">
        <v>256</v>
      </c>
      <c r="B629" s="4" t="s">
        <v>257</v>
      </c>
      <c r="C629" s="4" t="s">
        <v>24</v>
      </c>
      <c r="D629" s="5" t="s">
        <v>27</v>
      </c>
      <c r="E629" s="5">
        <v>607600</v>
      </c>
      <c r="F629" s="5"/>
      <c r="G629" s="5">
        <v>24976</v>
      </c>
      <c r="H629" s="5">
        <f t="shared" si="129"/>
        <v>632576</v>
      </c>
    </row>
    <row r="630" spans="1:8" ht="15" customHeight="1" x14ac:dyDescent="0.25">
      <c r="A630" s="3"/>
      <c r="B630" s="4"/>
      <c r="C630" s="4"/>
      <c r="D630" s="5" t="s">
        <v>15</v>
      </c>
      <c r="E630" s="5">
        <v>196000</v>
      </c>
      <c r="F630" s="5">
        <v>300000</v>
      </c>
      <c r="G630" s="5">
        <v>41552</v>
      </c>
      <c r="H630" s="5">
        <f t="shared" si="129"/>
        <v>537552</v>
      </c>
    </row>
    <row r="631" spans="1:8" ht="15" customHeight="1" x14ac:dyDescent="0.25">
      <c r="A631" s="3"/>
      <c r="B631" s="4"/>
      <c r="C631" s="4"/>
      <c r="D631" s="5" t="s">
        <v>11</v>
      </c>
      <c r="E631" s="5">
        <v>588000</v>
      </c>
      <c r="F631" s="5">
        <f>3150000+1350000</f>
        <v>4500000</v>
      </c>
      <c r="G631" s="5">
        <f>129620+118150</f>
        <v>247770</v>
      </c>
      <c r="H631" s="5">
        <f t="shared" si="129"/>
        <v>5335770</v>
      </c>
    </row>
    <row r="632" spans="1:8" s="9" customFormat="1" x14ac:dyDescent="0.25">
      <c r="A632" s="6" t="s">
        <v>7</v>
      </c>
      <c r="B632" s="10" t="s">
        <v>257</v>
      </c>
      <c r="C632" s="28" t="s">
        <v>24</v>
      </c>
      <c r="D632" s="29"/>
      <c r="E632" s="8">
        <f>SUM(E629:E631)</f>
        <v>1391600</v>
      </c>
      <c r="F632" s="8">
        <f t="shared" ref="F632:H632" si="137">SUM(F629:F631)</f>
        <v>4800000</v>
      </c>
      <c r="G632" s="8">
        <f t="shared" si="137"/>
        <v>314298</v>
      </c>
      <c r="H632" s="8">
        <f t="shared" si="137"/>
        <v>6505898</v>
      </c>
    </row>
    <row r="633" spans="1:8" ht="15" customHeight="1" x14ac:dyDescent="0.25">
      <c r="A633" s="3" t="s">
        <v>258</v>
      </c>
      <c r="B633" s="4" t="s">
        <v>259</v>
      </c>
      <c r="C633" s="4" t="s">
        <v>83</v>
      </c>
      <c r="D633" s="5" t="s">
        <v>156</v>
      </c>
      <c r="E633" s="5">
        <v>49000</v>
      </c>
      <c r="F633" s="5">
        <v>300000</v>
      </c>
      <c r="G633" s="5">
        <f>164390+193063</f>
        <v>357453</v>
      </c>
      <c r="H633" s="5">
        <f t="shared" ref="H633:H660" si="138">SUM(E633:G633)</f>
        <v>706453</v>
      </c>
    </row>
    <row r="634" spans="1:8" ht="15" customHeight="1" x14ac:dyDescent="0.25">
      <c r="A634" s="3"/>
      <c r="B634" s="4"/>
      <c r="C634" s="15"/>
      <c r="D634" s="16" t="s">
        <v>15</v>
      </c>
      <c r="E634" s="5">
        <v>351000</v>
      </c>
      <c r="F634" s="5">
        <v>2600000</v>
      </c>
      <c r="G634" s="5">
        <f>66528+66528</f>
        <v>133056</v>
      </c>
      <c r="H634" s="5">
        <f t="shared" si="138"/>
        <v>3084056</v>
      </c>
    </row>
    <row r="635" spans="1:8" s="9" customFormat="1" x14ac:dyDescent="0.25">
      <c r="A635" s="6" t="s">
        <v>7</v>
      </c>
      <c r="B635" s="10" t="s">
        <v>259</v>
      </c>
      <c r="C635" s="28" t="s">
        <v>83</v>
      </c>
      <c r="D635" s="29"/>
      <c r="E635" s="8">
        <f>SUM(E633:E634)</f>
        <v>400000</v>
      </c>
      <c r="F635" s="8">
        <f t="shared" ref="F635:H635" si="139">SUM(F633:F634)</f>
        <v>2900000</v>
      </c>
      <c r="G635" s="8">
        <f t="shared" si="139"/>
        <v>490509</v>
      </c>
      <c r="H635" s="8">
        <f t="shared" si="139"/>
        <v>3790509</v>
      </c>
    </row>
    <row r="636" spans="1:8" ht="15" customHeight="1" x14ac:dyDescent="0.25">
      <c r="A636" s="3" t="s">
        <v>260</v>
      </c>
      <c r="B636" s="4" t="s">
        <v>261</v>
      </c>
      <c r="C636" s="4" t="s">
        <v>68</v>
      </c>
      <c r="D636" s="5" t="s">
        <v>13</v>
      </c>
      <c r="E636" s="5">
        <v>49000</v>
      </c>
      <c r="F636" s="5">
        <v>460000</v>
      </c>
      <c r="G636" s="5">
        <f>56840*2</f>
        <v>113680</v>
      </c>
      <c r="H636" s="5">
        <f t="shared" si="138"/>
        <v>622680</v>
      </c>
    </row>
    <row r="637" spans="1:8" ht="15" customHeight="1" x14ac:dyDescent="0.25">
      <c r="A637" s="3"/>
      <c r="B637" s="4"/>
      <c r="C637" s="4"/>
      <c r="D637" s="5" t="s">
        <v>15</v>
      </c>
      <c r="E637" s="5">
        <v>24500</v>
      </c>
      <c r="F637" s="5">
        <v>170000</v>
      </c>
      <c r="G637" s="5">
        <f>105000+20384+35280</f>
        <v>160664</v>
      </c>
      <c r="H637" s="5">
        <f t="shared" si="138"/>
        <v>355164</v>
      </c>
    </row>
    <row r="638" spans="1:8" ht="15" customHeight="1" x14ac:dyDescent="0.25">
      <c r="A638" s="3"/>
      <c r="B638" s="4"/>
      <c r="C638" s="4"/>
      <c r="D638" s="5" t="s">
        <v>16</v>
      </c>
      <c r="E638" s="5">
        <v>73500</v>
      </c>
      <c r="F638" s="5">
        <v>489000</v>
      </c>
      <c r="G638" s="5">
        <v>137200</v>
      </c>
      <c r="H638" s="5">
        <f t="shared" si="138"/>
        <v>699700</v>
      </c>
    </row>
    <row r="639" spans="1:8" ht="15" customHeight="1" x14ac:dyDescent="0.25">
      <c r="A639" s="3"/>
      <c r="B639" s="4"/>
      <c r="C639" s="4"/>
      <c r="D639" s="5" t="s">
        <v>13</v>
      </c>
      <c r="E639" s="5">
        <v>49000</v>
      </c>
      <c r="F639" s="5">
        <f>330000+49000</f>
        <v>379000</v>
      </c>
      <c r="G639" s="5">
        <f>54488*2</f>
        <v>108976</v>
      </c>
      <c r="H639" s="5">
        <f t="shared" si="138"/>
        <v>536976</v>
      </c>
    </row>
    <row r="640" spans="1:8" ht="15" customHeight="1" x14ac:dyDescent="0.25">
      <c r="A640" s="3"/>
      <c r="B640" s="4"/>
      <c r="C640" s="4"/>
      <c r="D640" s="5" t="s">
        <v>27</v>
      </c>
      <c r="E640" s="5">
        <v>24500</v>
      </c>
      <c r="F640" s="5"/>
      <c r="G640" s="5">
        <f>35280*2</f>
        <v>70560</v>
      </c>
      <c r="H640" s="5">
        <f t="shared" si="138"/>
        <v>95060</v>
      </c>
    </row>
    <row r="641" spans="1:8" ht="15" customHeight="1" x14ac:dyDescent="0.25">
      <c r="A641" s="3"/>
      <c r="B641" s="4"/>
      <c r="C641" s="4"/>
      <c r="D641" s="5" t="s">
        <v>30</v>
      </c>
      <c r="E641" s="5">
        <v>73500</v>
      </c>
      <c r="F641" s="5">
        <v>525000</v>
      </c>
      <c r="G641" s="5">
        <v>170128</v>
      </c>
      <c r="H641" s="5">
        <f t="shared" si="138"/>
        <v>768628</v>
      </c>
    </row>
    <row r="642" spans="1:8" s="9" customFormat="1" x14ac:dyDescent="0.25">
      <c r="A642" s="6" t="s">
        <v>7</v>
      </c>
      <c r="B642" s="10" t="s">
        <v>261</v>
      </c>
      <c r="C642" s="28" t="s">
        <v>68</v>
      </c>
      <c r="D642" s="29"/>
      <c r="E642" s="8">
        <f>SUM(E636:E641)</f>
        <v>294000</v>
      </c>
      <c r="F642" s="8">
        <f t="shared" ref="F642:H642" si="140">SUM(F636:F641)</f>
        <v>2023000</v>
      </c>
      <c r="G642" s="8">
        <f t="shared" si="140"/>
        <v>761208</v>
      </c>
      <c r="H642" s="8">
        <f t="shared" si="140"/>
        <v>3078208</v>
      </c>
    </row>
    <row r="643" spans="1:8" ht="15" customHeight="1" x14ac:dyDescent="0.25">
      <c r="A643" s="3" t="s">
        <v>262</v>
      </c>
      <c r="B643" s="4" t="s">
        <v>263</v>
      </c>
      <c r="C643" s="4" t="s">
        <v>71</v>
      </c>
      <c r="D643" s="5" t="s">
        <v>12</v>
      </c>
      <c r="E643" s="5">
        <v>24500</v>
      </c>
      <c r="F643" s="5">
        <v>230000</v>
      </c>
      <c r="G643" s="5"/>
      <c r="H643" s="5">
        <f t="shared" si="138"/>
        <v>254500</v>
      </c>
    </row>
    <row r="644" spans="1:8" ht="15" customHeight="1" x14ac:dyDescent="0.25">
      <c r="A644" s="3"/>
      <c r="B644" s="4"/>
      <c r="C644" s="4"/>
      <c r="D644" s="5" t="s">
        <v>12</v>
      </c>
      <c r="E644" s="5">
        <v>66900</v>
      </c>
      <c r="F644" s="5">
        <v>750000</v>
      </c>
      <c r="G644" s="5"/>
      <c r="H644" s="5">
        <f t="shared" si="138"/>
        <v>816900</v>
      </c>
    </row>
    <row r="645" spans="1:8" ht="15" customHeight="1" x14ac:dyDescent="0.25">
      <c r="A645" s="3"/>
      <c r="B645" s="4"/>
      <c r="C645" s="4"/>
      <c r="D645" s="5" t="s">
        <v>12</v>
      </c>
      <c r="E645" s="5">
        <v>44600</v>
      </c>
      <c r="F645" s="5">
        <v>600000</v>
      </c>
      <c r="G645" s="5"/>
      <c r="H645" s="5">
        <f t="shared" si="138"/>
        <v>644600</v>
      </c>
    </row>
    <row r="646" spans="1:8" ht="15" customHeight="1" x14ac:dyDescent="0.25">
      <c r="A646" s="3"/>
      <c r="B646" s="4"/>
      <c r="C646" s="4"/>
      <c r="D646" s="5" t="s">
        <v>15</v>
      </c>
      <c r="E646" s="5">
        <v>44600</v>
      </c>
      <c r="F646" s="5">
        <v>900000</v>
      </c>
      <c r="G646" s="5">
        <v>105000</v>
      </c>
      <c r="H646" s="5">
        <f t="shared" si="138"/>
        <v>1049600</v>
      </c>
    </row>
    <row r="647" spans="1:8" ht="15" customHeight="1" x14ac:dyDescent="0.25">
      <c r="A647" s="3"/>
      <c r="B647" s="4"/>
      <c r="C647" s="4"/>
      <c r="D647" s="5" t="s">
        <v>15</v>
      </c>
      <c r="E647" s="5">
        <v>22300</v>
      </c>
      <c r="F647" s="5">
        <v>350000</v>
      </c>
      <c r="G647" s="5">
        <v>105000</v>
      </c>
      <c r="H647" s="5">
        <f t="shared" si="138"/>
        <v>477300</v>
      </c>
    </row>
    <row r="648" spans="1:8" ht="15" customHeight="1" x14ac:dyDescent="0.25">
      <c r="A648" s="3"/>
      <c r="B648" s="4"/>
      <c r="C648" s="4"/>
      <c r="D648" s="5" t="s">
        <v>13</v>
      </c>
      <c r="E648" s="5">
        <v>98000</v>
      </c>
      <c r="F648" s="5">
        <v>1800000</v>
      </c>
      <c r="G648" s="5"/>
      <c r="H648" s="5">
        <f t="shared" si="138"/>
        <v>1898000</v>
      </c>
    </row>
    <row r="649" spans="1:8" ht="15" customHeight="1" x14ac:dyDescent="0.25">
      <c r="A649" s="3"/>
      <c r="B649" s="4"/>
      <c r="C649" s="4"/>
      <c r="D649" s="5" t="s">
        <v>13</v>
      </c>
      <c r="E649" s="5">
        <v>49000</v>
      </c>
      <c r="F649" s="5">
        <v>800000</v>
      </c>
      <c r="G649" s="5"/>
      <c r="H649" s="5">
        <f t="shared" si="138"/>
        <v>849000</v>
      </c>
    </row>
    <row r="650" spans="1:8" ht="15" customHeight="1" x14ac:dyDescent="0.25">
      <c r="A650" s="3"/>
      <c r="B650" s="4"/>
      <c r="C650" s="4"/>
      <c r="D650" s="5" t="s">
        <v>30</v>
      </c>
      <c r="E650" s="5">
        <v>171500</v>
      </c>
      <c r="F650" s="5">
        <v>1440000</v>
      </c>
      <c r="G650" s="5">
        <v>528000</v>
      </c>
      <c r="H650" s="5">
        <f t="shared" si="138"/>
        <v>2139500</v>
      </c>
    </row>
    <row r="651" spans="1:8" ht="15" customHeight="1" x14ac:dyDescent="0.25">
      <c r="A651" s="3"/>
      <c r="B651" s="4"/>
      <c r="C651" s="4"/>
      <c r="D651" s="5" t="s">
        <v>54</v>
      </c>
      <c r="E651" s="5">
        <v>147000</v>
      </c>
      <c r="F651" s="5"/>
      <c r="G651" s="5"/>
      <c r="H651" s="5">
        <f t="shared" si="138"/>
        <v>147000</v>
      </c>
    </row>
    <row r="652" spans="1:8" ht="15" customHeight="1" x14ac:dyDescent="0.25">
      <c r="A652" s="3"/>
      <c r="B652" s="4"/>
      <c r="C652" s="4"/>
      <c r="D652" s="5" t="s">
        <v>27</v>
      </c>
      <c r="E652" s="5">
        <v>171500</v>
      </c>
      <c r="F652" s="5"/>
      <c r="G652" s="5"/>
      <c r="H652" s="5">
        <f>SUM(E652:G652)</f>
        <v>171500</v>
      </c>
    </row>
    <row r="653" spans="1:8" ht="15" customHeight="1" x14ac:dyDescent="0.25">
      <c r="A653" s="3"/>
      <c r="B653" s="4"/>
      <c r="C653" s="4"/>
      <c r="D653" s="5" t="s">
        <v>12</v>
      </c>
      <c r="E653" s="5">
        <v>49000</v>
      </c>
      <c r="F653" s="5">
        <f>300000+350000</f>
        <v>650000</v>
      </c>
      <c r="G653" s="5"/>
      <c r="H653" s="5">
        <f t="shared" si="138"/>
        <v>699000</v>
      </c>
    </row>
    <row r="654" spans="1:8" ht="15" customHeight="1" x14ac:dyDescent="0.25">
      <c r="A654" s="3"/>
      <c r="B654" s="4"/>
      <c r="C654" s="4"/>
      <c r="D654" s="5" t="s">
        <v>15</v>
      </c>
      <c r="E654" s="5">
        <v>147000</v>
      </c>
      <c r="F654" s="5">
        <v>1800000</v>
      </c>
      <c r="G654" s="5">
        <f>142000+73000+54096+134064</f>
        <v>403160</v>
      </c>
      <c r="H654" s="5">
        <f t="shared" si="138"/>
        <v>2350160</v>
      </c>
    </row>
    <row r="655" spans="1:8" ht="15" customHeight="1" x14ac:dyDescent="0.25">
      <c r="A655" s="3"/>
      <c r="B655" s="4"/>
      <c r="C655" s="4"/>
      <c r="D655" s="5" t="s">
        <v>15</v>
      </c>
      <c r="E655" s="5">
        <v>24500</v>
      </c>
      <c r="F655" s="5">
        <v>450000</v>
      </c>
      <c r="G655" s="5">
        <f>142000+105000</f>
        <v>247000</v>
      </c>
      <c r="H655" s="5">
        <f t="shared" si="138"/>
        <v>721500</v>
      </c>
    </row>
    <row r="656" spans="1:8" ht="15" customHeight="1" x14ac:dyDescent="0.25">
      <c r="A656" s="3"/>
      <c r="B656" s="4"/>
      <c r="C656" s="4"/>
      <c r="D656" s="5" t="s">
        <v>16</v>
      </c>
      <c r="E656" s="5">
        <v>73500</v>
      </c>
      <c r="F656" s="5">
        <f>500000+660000</f>
        <v>1160000</v>
      </c>
      <c r="G656" s="5"/>
      <c r="H656" s="5">
        <f t="shared" si="138"/>
        <v>1233500</v>
      </c>
    </row>
    <row r="657" spans="1:8" ht="15" customHeight="1" x14ac:dyDescent="0.25">
      <c r="A657" s="3"/>
      <c r="B657" s="4"/>
      <c r="C657" s="4"/>
      <c r="D657" s="5" t="s">
        <v>34</v>
      </c>
      <c r="E657" s="5">
        <v>147000</v>
      </c>
      <c r="F657" s="5">
        <v>2100000</v>
      </c>
      <c r="G657" s="5">
        <v>774736</v>
      </c>
      <c r="H657" s="5">
        <f t="shared" si="138"/>
        <v>3021736</v>
      </c>
    </row>
    <row r="658" spans="1:8" s="9" customFormat="1" x14ac:dyDescent="0.25">
      <c r="A658" s="6" t="s">
        <v>7</v>
      </c>
      <c r="B658" s="10" t="s">
        <v>263</v>
      </c>
      <c r="C658" s="28" t="s">
        <v>71</v>
      </c>
      <c r="D658" s="29"/>
      <c r="E658" s="8">
        <f>SUM(E643:E657)</f>
        <v>1280900</v>
      </c>
      <c r="F658" s="8">
        <f t="shared" ref="F658:H658" si="141">SUM(F643:F657)</f>
        <v>13030000</v>
      </c>
      <c r="G658" s="8">
        <f t="shared" si="141"/>
        <v>2162896</v>
      </c>
      <c r="H658" s="8">
        <f t="shared" si="141"/>
        <v>16473796</v>
      </c>
    </row>
    <row r="659" spans="1:8" ht="15" customHeight="1" x14ac:dyDescent="0.25">
      <c r="A659" s="3" t="s">
        <v>264</v>
      </c>
      <c r="B659" s="4" t="s">
        <v>265</v>
      </c>
      <c r="C659" s="4" t="s">
        <v>24</v>
      </c>
      <c r="D659" s="5" t="s">
        <v>13</v>
      </c>
      <c r="E659" s="5">
        <v>411600</v>
      </c>
      <c r="F659" s="5">
        <f>460000+800000+800000+800000</f>
        <v>2860000</v>
      </c>
      <c r="G659" s="5">
        <f>13132*2</f>
        <v>26264</v>
      </c>
      <c r="H659" s="5">
        <f t="shared" si="138"/>
        <v>3297864</v>
      </c>
    </row>
    <row r="660" spans="1:8" ht="15" customHeight="1" x14ac:dyDescent="0.25">
      <c r="A660" s="3"/>
      <c r="B660" s="4"/>
      <c r="C660" s="4"/>
      <c r="D660" s="5" t="s">
        <v>12</v>
      </c>
      <c r="E660" s="5">
        <v>662310</v>
      </c>
      <c r="F660" s="5">
        <f>209000+2400000+1250000+935000</f>
        <v>4794000</v>
      </c>
      <c r="G660" s="5">
        <f>14700*2</f>
        <v>29400</v>
      </c>
      <c r="H660" s="5">
        <f t="shared" si="138"/>
        <v>5485710</v>
      </c>
    </row>
    <row r="661" spans="1:8" s="9" customFormat="1" x14ac:dyDescent="0.25">
      <c r="A661" s="6" t="s">
        <v>7</v>
      </c>
      <c r="B661" s="10" t="s">
        <v>265</v>
      </c>
      <c r="C661" s="28" t="s">
        <v>24</v>
      </c>
      <c r="D661" s="29"/>
      <c r="E661" s="8">
        <f>SUM(E659:E660)</f>
        <v>1073910</v>
      </c>
      <c r="F661" s="8">
        <f t="shared" ref="F661:H661" si="142">SUM(F659:F660)</f>
        <v>7654000</v>
      </c>
      <c r="G661" s="8">
        <f t="shared" si="142"/>
        <v>55664</v>
      </c>
      <c r="H661" s="8">
        <f t="shared" si="142"/>
        <v>8783574</v>
      </c>
    </row>
    <row r="662" spans="1:8" ht="15" customHeight="1" x14ac:dyDescent="0.25">
      <c r="A662" s="3" t="s">
        <v>266</v>
      </c>
      <c r="B662" s="4" t="s">
        <v>267</v>
      </c>
      <c r="C662" s="4" t="s">
        <v>96</v>
      </c>
      <c r="D662" s="5" t="s">
        <v>15</v>
      </c>
      <c r="E662" s="5">
        <v>73500</v>
      </c>
      <c r="F662" s="5">
        <v>230000</v>
      </c>
      <c r="G662" s="5">
        <v>380880</v>
      </c>
      <c r="H662" s="5">
        <f>SUM(E662:G662)</f>
        <v>684380</v>
      </c>
    </row>
    <row r="663" spans="1:8" ht="15" customHeight="1" x14ac:dyDescent="0.25">
      <c r="A663" s="3"/>
      <c r="B663" s="4"/>
      <c r="C663" s="4"/>
      <c r="D663" s="5" t="s">
        <v>21</v>
      </c>
      <c r="E663" s="5">
        <v>49000</v>
      </c>
      <c r="F663" s="5">
        <v>500000</v>
      </c>
      <c r="G663" s="5">
        <v>924897</v>
      </c>
      <c r="H663" s="5">
        <f>SUM(E663:G663)</f>
        <v>1473897</v>
      </c>
    </row>
    <row r="664" spans="1:8" ht="15" customHeight="1" x14ac:dyDescent="0.25">
      <c r="A664" s="3"/>
      <c r="B664" s="4"/>
      <c r="C664" s="4"/>
      <c r="D664" s="5" t="s">
        <v>13</v>
      </c>
      <c r="E664" s="5">
        <v>49000</v>
      </c>
      <c r="F664" s="5">
        <v>185000</v>
      </c>
      <c r="G664" s="5">
        <v>113680</v>
      </c>
      <c r="H664" s="5">
        <f>SUM(E664:G664)</f>
        <v>347680</v>
      </c>
    </row>
    <row r="665" spans="1:8" s="9" customFormat="1" x14ac:dyDescent="0.25">
      <c r="A665" s="6" t="s">
        <v>7</v>
      </c>
      <c r="B665" s="10" t="s">
        <v>267</v>
      </c>
      <c r="C665" s="30" t="s">
        <v>96</v>
      </c>
      <c r="D665" s="31"/>
      <c r="E665" s="8">
        <f>SUM(E662:E664)</f>
        <v>171500</v>
      </c>
      <c r="F665" s="8">
        <f t="shared" ref="F665:H665" si="143">SUM(F662:F664)</f>
        <v>915000</v>
      </c>
      <c r="G665" s="8">
        <f t="shared" si="143"/>
        <v>1419457</v>
      </c>
      <c r="H665" s="8">
        <f t="shared" si="143"/>
        <v>2505957</v>
      </c>
    </row>
    <row r="666" spans="1:8" s="9" customFormat="1" x14ac:dyDescent="0.25">
      <c r="A666" s="23"/>
      <c r="B666" s="24" t="s">
        <v>289</v>
      </c>
      <c r="C666" s="20" t="s">
        <v>291</v>
      </c>
      <c r="D666" s="20" t="s">
        <v>11</v>
      </c>
      <c r="E666" s="21">
        <v>432000</v>
      </c>
      <c r="F666" s="21">
        <v>4000000</v>
      </c>
      <c r="G666" s="21">
        <f>290342+173000</f>
        <v>463342</v>
      </c>
      <c r="H666" s="5">
        <f>SUM(E666:G666)</f>
        <v>4895342</v>
      </c>
    </row>
    <row r="667" spans="1:8" ht="15" customHeight="1" x14ac:dyDescent="0.25">
      <c r="A667" s="6" t="s">
        <v>7</v>
      </c>
      <c r="B667" s="10" t="s">
        <v>289</v>
      </c>
      <c r="C667" s="28" t="s">
        <v>290</v>
      </c>
      <c r="D667" s="29"/>
      <c r="E667" s="8">
        <f>SUM(E666)</f>
        <v>432000</v>
      </c>
      <c r="F667" s="8">
        <f t="shared" ref="F667:H667" si="144">SUM(F666)</f>
        <v>4000000</v>
      </c>
      <c r="G667" s="8">
        <f t="shared" si="144"/>
        <v>463342</v>
      </c>
      <c r="H667" s="8">
        <f t="shared" si="144"/>
        <v>4895342</v>
      </c>
    </row>
    <row r="668" spans="1:8" x14ac:dyDescent="0.25">
      <c r="A668" s="32" t="s">
        <v>292</v>
      </c>
      <c r="B668" s="33"/>
      <c r="C668" s="33"/>
      <c r="D668" s="33"/>
      <c r="E668" s="8">
        <f>SUBTOTAL(9,E667,E665,E661,E658,E642,E635,E632,E628,E626,E616,E598,E577,E574,E570,E564,E562,E559,E545,E543,E540,E538,E536,E528,E524,E522,E519,E503,E497,E495,E493,E491,E488,E485,E480,E477,E474,E468,E461,E458,E452,E450,E447,E443,E440,E436,E433,E421,E419,E407,E401,E398,E390,E386,E378,E371,E368,E366,E359,E352,E349,E344,E326,E316,E311,E305,E297,E289,E287,E271,E269,E251,E243,E237,E231,E228,E225,E218,E216,E212,E210,E204,E198,E196,E186,E182,E179,E174,E172,E169,E167,E163,E158,E148,E146,E141,E139,E133,E127,E124,E116,E113,E106,E104,E94,E92,E90,E77,E66,E57,E54,E48,E39,E30,E25,E23,E20,E18,E13)</f>
        <v>74241738</v>
      </c>
      <c r="F668" s="8">
        <f t="shared" ref="F668:H668" si="145">SUBTOTAL(9,F667,F665,F661,F658,F642,F635,F632,F628,F626,F616,F598,F577,F574,F570,F564,F562,F559,F545,F543,F540,F538,F536,F528,F524,F522,F519,F503,F497,F495,F493,F491,F488,F485,F480,F477,F474,F468,F461,F458,F452,F450,F447,F443,F440,F436,F433,F421,F419,F407,F401,F398,F390,F386,F378,F371,F368,F366,F359,F352,F349,F344,F326,F316,F311,F305,F297,F289,F287,F271,F269,F251,F243,F237,F231,F228,F225,F218,F216,F212,F210,F204,F198,F196,F186,F182,F179,F174,F172,F169,F167,F163,F158,F148,F146,F141,F139,F133,F127,F124,F116,F113,F106,F104,F94,F92,F90,F77,F66,F57,F54,F48,F39,F30,F25,F23,F20,F18,F13)</f>
        <v>500563444</v>
      </c>
      <c r="G668" s="8">
        <f t="shared" si="145"/>
        <v>145492611.67999998</v>
      </c>
      <c r="H668" s="8">
        <f t="shared" si="145"/>
        <v>720297793.68000007</v>
      </c>
    </row>
  </sheetData>
  <mergeCells count="116">
    <mergeCell ref="A668:D668"/>
    <mergeCell ref="A1:H1"/>
    <mergeCell ref="A2:H2"/>
    <mergeCell ref="C635:D635"/>
    <mergeCell ref="C642:D642"/>
    <mergeCell ref="C658:D658"/>
    <mergeCell ref="C661:D661"/>
    <mergeCell ref="C665:D665"/>
    <mergeCell ref="C577:D577"/>
    <mergeCell ref="C598:D598"/>
    <mergeCell ref="C616:D616"/>
    <mergeCell ref="C626:D626"/>
    <mergeCell ref="C628:D628"/>
    <mergeCell ref="C632:D632"/>
    <mergeCell ref="C545:D545"/>
    <mergeCell ref="C559:D559"/>
    <mergeCell ref="C562:D562"/>
    <mergeCell ref="C564:D564"/>
    <mergeCell ref="C570:D570"/>
    <mergeCell ref="C574:D574"/>
    <mergeCell ref="C519:D519"/>
    <mergeCell ref="C522:D522"/>
    <mergeCell ref="C524:D524"/>
    <mergeCell ref="C528:D528"/>
    <mergeCell ref="C536:D536"/>
    <mergeCell ref="C543:D543"/>
    <mergeCell ref="C538:D538"/>
    <mergeCell ref="C540:D540"/>
    <mergeCell ref="C488:D488"/>
    <mergeCell ref="C491:D491"/>
    <mergeCell ref="C493:D493"/>
    <mergeCell ref="C495:D495"/>
    <mergeCell ref="C497:D497"/>
    <mergeCell ref="C503:D503"/>
    <mergeCell ref="C461:D461"/>
    <mergeCell ref="C468:D468"/>
    <mergeCell ref="C474:D474"/>
    <mergeCell ref="C477:D477"/>
    <mergeCell ref="C480:D480"/>
    <mergeCell ref="C485:D485"/>
    <mergeCell ref="C440:D440"/>
    <mergeCell ref="C443:D443"/>
    <mergeCell ref="C447:D447"/>
    <mergeCell ref="C450:D450"/>
    <mergeCell ref="C452:D452"/>
    <mergeCell ref="C458:D458"/>
    <mergeCell ref="C398:D398"/>
    <mergeCell ref="C401:D401"/>
    <mergeCell ref="C407:D407"/>
    <mergeCell ref="C419:D419"/>
    <mergeCell ref="C433:D433"/>
    <mergeCell ref="C436:D436"/>
    <mergeCell ref="C421:D421"/>
    <mergeCell ref="C359:D359"/>
    <mergeCell ref="C366:D366"/>
    <mergeCell ref="C371:D371"/>
    <mergeCell ref="C378:D378"/>
    <mergeCell ref="C386:D386"/>
    <mergeCell ref="C390:D390"/>
    <mergeCell ref="C305:D305"/>
    <mergeCell ref="C311:D311"/>
    <mergeCell ref="C316:D316"/>
    <mergeCell ref="C326:D326"/>
    <mergeCell ref="C344:D344"/>
    <mergeCell ref="C349:D349"/>
    <mergeCell ref="C243:D243"/>
    <mergeCell ref="C251:D251"/>
    <mergeCell ref="C269:D269"/>
    <mergeCell ref="C271:D271"/>
    <mergeCell ref="C287:D287"/>
    <mergeCell ref="C297:D297"/>
    <mergeCell ref="C210:D210"/>
    <mergeCell ref="C216:D216"/>
    <mergeCell ref="C218:D218"/>
    <mergeCell ref="C225:D225"/>
    <mergeCell ref="C231:D231"/>
    <mergeCell ref="C237:D237"/>
    <mergeCell ref="C186:D186"/>
    <mergeCell ref="C196:D196"/>
    <mergeCell ref="C198:D198"/>
    <mergeCell ref="C204:D204"/>
    <mergeCell ref="C158:D158"/>
    <mergeCell ref="C163:D163"/>
    <mergeCell ref="C167:D167"/>
    <mergeCell ref="C169:D169"/>
    <mergeCell ref="C172:D172"/>
    <mergeCell ref="C174:D174"/>
    <mergeCell ref="C148:D148"/>
    <mergeCell ref="C94:D94"/>
    <mergeCell ref="C104:D104"/>
    <mergeCell ref="C106:D106"/>
    <mergeCell ref="C113:D113"/>
    <mergeCell ref="C116:D116"/>
    <mergeCell ref="C124:D124"/>
    <mergeCell ref="C179:D179"/>
    <mergeCell ref="C182:D182"/>
    <mergeCell ref="C667:D667"/>
    <mergeCell ref="C13:D13"/>
    <mergeCell ref="C18:D18"/>
    <mergeCell ref="C54:D54"/>
    <mergeCell ref="C57:D57"/>
    <mergeCell ref="C66:D66"/>
    <mergeCell ref="C77:D77"/>
    <mergeCell ref="C90:D90"/>
    <mergeCell ref="C92:D92"/>
    <mergeCell ref="C20:D20"/>
    <mergeCell ref="C23:D23"/>
    <mergeCell ref="C25:D25"/>
    <mergeCell ref="C30:D30"/>
    <mergeCell ref="C39:D39"/>
    <mergeCell ref="C48:D48"/>
    <mergeCell ref="C127:D127"/>
    <mergeCell ref="C133:D133"/>
    <mergeCell ref="C139:D139"/>
    <mergeCell ref="C141:D141"/>
    <mergeCell ref="C146:D146"/>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Лист5</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dcterms:created xsi:type="dcterms:W3CDTF">2021-08-28T06:34:51Z</dcterms:created>
  <dcterms:modified xsi:type="dcterms:W3CDTF">2021-10-26T17:26:29Z</dcterms:modified>
</cp:coreProperties>
</file>